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\\Server\in corso\COMMESSE\Comune di Lucca_Prog. Esec. Palestra San Lorenzo a Vaccoli-3280\____VERIFICA PROGETTO\Risposta verifica Dicembre 2022\COMPUTO\"/>
    </mc:Choice>
  </mc:AlternateContent>
  <xr:revisionPtr revIDLastSave="0" documentId="13_ncr:1_{D5B68483-FC5C-4A97-9B66-C0E40A9BA35E}" xr6:coauthVersionLast="47" xr6:coauthVersionMax="47" xr10:uidLastSave="{00000000-0000-0000-0000-000000000000}"/>
  <bookViews>
    <workbookView xWindow="-120" yWindow="-120" windowWidth="29040" windowHeight="15840" tabRatio="665" xr2:uid="{00000000-000D-0000-FFFF-FFFF00000000}"/>
  </bookViews>
  <sheets>
    <sheet name="STRUTTURE" sheetId="4" r:id="rId1"/>
    <sheet name="NUOVI" sheetId="2" r:id="rId2"/>
    <sheet name="RINGROSSI" sheetId="1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8" i="2" l="1"/>
  <c r="D114" i="4" s="1"/>
  <c r="C156" i="2"/>
  <c r="D116" i="4" s="1"/>
  <c r="D115" i="4"/>
  <c r="D113" i="4"/>
  <c r="D112" i="4"/>
  <c r="D110" i="4"/>
  <c r="D89" i="4"/>
  <c r="D88" i="4"/>
  <c r="D87" i="4"/>
  <c r="D62" i="4"/>
  <c r="D54" i="4"/>
  <c r="D53" i="4"/>
  <c r="D51" i="4"/>
  <c r="D52" i="4"/>
  <c r="D50" i="4"/>
  <c r="D49" i="4"/>
  <c r="D48" i="4"/>
  <c r="D47" i="4"/>
  <c r="D28" i="4"/>
  <c r="D19" i="4"/>
  <c r="D17" i="4"/>
  <c r="D13" i="4"/>
  <c r="D11" i="4"/>
  <c r="D7" i="4" l="1"/>
  <c r="D138" i="4" l="1"/>
  <c r="D137" i="4"/>
  <c r="Y49" i="4"/>
  <c r="X49" i="4"/>
  <c r="V49" i="4"/>
  <c r="U49" i="4"/>
  <c r="T49" i="4"/>
  <c r="S49" i="4"/>
  <c r="R49" i="4"/>
  <c r="Q49" i="4"/>
  <c r="P49" i="4"/>
  <c r="O49" i="4"/>
  <c r="N49" i="4"/>
  <c r="W46" i="4"/>
  <c r="W49" i="4" s="1"/>
  <c r="M49" i="4"/>
  <c r="K49" i="4"/>
  <c r="L46" i="4"/>
  <c r="L49" i="4" s="1"/>
  <c r="L41" i="4"/>
  <c r="M41" i="4"/>
  <c r="K41" i="4"/>
  <c r="V34" i="4"/>
  <c r="U34" i="4"/>
  <c r="M28" i="4"/>
  <c r="L25" i="4"/>
  <c r="L28" i="4" s="1"/>
  <c r="T31" i="4"/>
  <c r="T34" i="4" s="1"/>
  <c r="M34" i="4"/>
  <c r="N34" i="4"/>
  <c r="O34" i="4"/>
  <c r="P34" i="4"/>
  <c r="Q34" i="4"/>
  <c r="R34" i="4"/>
  <c r="S34" i="4"/>
  <c r="L34" i="4"/>
  <c r="D24" i="4" s="1"/>
  <c r="K28" i="4"/>
  <c r="D25" i="4" s="1"/>
  <c r="K34" i="4"/>
  <c r="D23" i="4"/>
  <c r="D71" i="4"/>
  <c r="D49" i="2"/>
  <c r="C49" i="2"/>
  <c r="D48" i="2"/>
  <c r="C48" i="2"/>
  <c r="E56" i="2"/>
  <c r="D56" i="2"/>
  <c r="C56" i="2"/>
  <c r="C24" i="1"/>
  <c r="D24" i="1"/>
  <c r="M35" i="2"/>
  <c r="N35" i="2"/>
  <c r="L35" i="2"/>
  <c r="J35" i="2"/>
  <c r="K35" i="2"/>
  <c r="I35" i="2"/>
  <c r="G35" i="2"/>
  <c r="F35" i="2"/>
  <c r="D35" i="2"/>
  <c r="C35" i="2"/>
  <c r="D5" i="2"/>
  <c r="C5" i="2"/>
  <c r="I45" i="2"/>
  <c r="J45" i="2"/>
  <c r="H45" i="2"/>
  <c r="R41" i="1"/>
  <c r="R40" i="1"/>
  <c r="R39" i="1"/>
  <c r="R38" i="1"/>
  <c r="R37" i="1"/>
  <c r="O21" i="2"/>
  <c r="N21" i="2"/>
  <c r="M21" i="2"/>
  <c r="L21" i="2"/>
  <c r="K21" i="2"/>
  <c r="F11" i="2"/>
  <c r="E11" i="2"/>
  <c r="D11" i="2"/>
  <c r="C11" i="2"/>
  <c r="N22" i="2"/>
  <c r="M22" i="2"/>
  <c r="L22" i="2"/>
  <c r="K22" i="2"/>
  <c r="F12" i="2"/>
  <c r="E12" i="2"/>
  <c r="D12" i="2"/>
  <c r="C12" i="2"/>
  <c r="H12" i="2"/>
  <c r="O22" i="2"/>
  <c r="O28" i="2"/>
  <c r="N28" i="2"/>
  <c r="M28" i="2"/>
  <c r="L28" i="2"/>
  <c r="K28" i="2"/>
  <c r="C25" i="2"/>
  <c r="C23" i="2"/>
  <c r="F18" i="2"/>
  <c r="C18" i="2"/>
  <c r="D18" i="2"/>
  <c r="E18" i="2"/>
  <c r="O29" i="2"/>
  <c r="N29" i="2"/>
  <c r="M29" i="2"/>
  <c r="L29" i="2"/>
  <c r="K29" i="2"/>
  <c r="C125" i="2"/>
  <c r="C153" i="2" l="1"/>
  <c r="C105" i="2"/>
  <c r="C8" i="2" l="1"/>
  <c r="C81" i="2" l="1"/>
  <c r="C80" i="2"/>
  <c r="D60" i="4"/>
  <c r="D26" i="4"/>
  <c r="D118" i="4" l="1"/>
  <c r="C116" i="2"/>
  <c r="D2" i="4"/>
  <c r="C166" i="2" l="1"/>
  <c r="C145" i="2" l="1"/>
  <c r="C117" i="2"/>
  <c r="E71" i="2" l="1"/>
  <c r="D71" i="2"/>
  <c r="C71" i="2"/>
  <c r="D100" i="4"/>
  <c r="D22" i="4"/>
  <c r="D20" i="4"/>
  <c r="D18" i="4"/>
  <c r="D94" i="4"/>
  <c r="D8" i="2"/>
  <c r="D101" i="4" s="1"/>
  <c r="E8" i="2"/>
  <c r="D106" i="4" s="1"/>
  <c r="D90" i="4"/>
  <c r="C118" i="2"/>
  <c r="C79" i="2"/>
  <c r="D105" i="4"/>
  <c r="D93" i="4"/>
  <c r="C136" i="2"/>
  <c r="D98" i="4" s="1"/>
  <c r="D135" i="4"/>
  <c r="C148" i="2"/>
  <c r="D134" i="4"/>
  <c r="C120" i="2"/>
  <c r="D132" i="4"/>
  <c r="D133" i="4"/>
  <c r="D124" i="4"/>
  <c r="D123" i="4"/>
  <c r="D122" i="4"/>
  <c r="C165" i="2"/>
  <c r="D121" i="4" s="1"/>
  <c r="D117" i="4"/>
  <c r="C88" i="2"/>
  <c r="D111" i="4"/>
  <c r="D109" i="4"/>
  <c r="C137" i="2"/>
  <c r="D99" i="4" s="1"/>
  <c r="C135" i="2"/>
  <c r="D95" i="4"/>
  <c r="C163" i="2"/>
  <c r="D92" i="4" s="1"/>
  <c r="E54" i="2"/>
  <c r="D54" i="2"/>
  <c r="D55" i="2" s="1"/>
  <c r="D57" i="2"/>
  <c r="C54" i="2"/>
  <c r="C143" i="2"/>
  <c r="D104" i="4" s="1"/>
  <c r="C142" i="2"/>
  <c r="D85" i="4" s="1"/>
  <c r="C115" i="2"/>
  <c r="D97" i="4" s="1"/>
  <c r="C114" i="2"/>
  <c r="D84" i="4" s="1"/>
  <c r="D77" i="4"/>
  <c r="D75" i="4"/>
  <c r="D73" i="4"/>
  <c r="C164" i="2"/>
  <c r="D69" i="4" s="1"/>
  <c r="D64" i="4"/>
  <c r="D56" i="4"/>
  <c r="D59" i="4"/>
  <c r="D58" i="4"/>
  <c r="D57" i="4"/>
  <c r="D55" i="4"/>
  <c r="D61" i="4" s="1"/>
  <c r="D46" i="4"/>
  <c r="D44" i="4"/>
  <c r="D45" i="4"/>
  <c r="D37" i="4"/>
  <c r="D36" i="4"/>
  <c r="D35" i="4"/>
  <c r="D33" i="4"/>
  <c r="D32" i="4"/>
  <c r="D31" i="4"/>
  <c r="D27" i="4"/>
  <c r="D79" i="4" l="1"/>
  <c r="D108" i="4"/>
  <c r="C55" i="2"/>
  <c r="D10" i="4"/>
  <c r="D9" i="4"/>
  <c r="D8" i="4"/>
  <c r="D4" i="4"/>
  <c r="D3" i="4"/>
  <c r="C176" i="2"/>
  <c r="D38" i="4" s="1"/>
  <c r="C177" i="2"/>
  <c r="D5" i="4" s="1"/>
  <c r="C175" i="2"/>
  <c r="D14" i="4" s="1"/>
  <c r="C152" i="2" l="1"/>
  <c r="D82" i="4" s="1"/>
  <c r="C124" i="2"/>
  <c r="D81" i="4" s="1"/>
  <c r="C104" i="2"/>
  <c r="D80" i="4" s="1"/>
  <c r="D78" i="4" l="1"/>
  <c r="C126" i="2"/>
  <c r="D74" i="4" s="1"/>
  <c r="C106" i="2"/>
  <c r="D72" i="4" s="1"/>
  <c r="M11" i="1"/>
  <c r="L11" i="1"/>
  <c r="K11" i="1"/>
  <c r="J11" i="1"/>
  <c r="J12" i="1" s="1"/>
  <c r="H11" i="1"/>
  <c r="G11" i="1"/>
  <c r="F11" i="1"/>
  <c r="E11" i="1"/>
  <c r="D11" i="1"/>
  <c r="C11" i="1"/>
  <c r="C12" i="1" s="1"/>
  <c r="C172" i="2" l="1"/>
  <c r="D129" i="4" s="1"/>
  <c r="C171" i="2"/>
  <c r="D128" i="4" s="1"/>
  <c r="C170" i="2"/>
  <c r="D130" i="4" s="1"/>
  <c r="C169" i="2"/>
  <c r="D127" i="4" s="1"/>
  <c r="C168" i="2"/>
  <c r="D131" i="4" s="1"/>
  <c r="C167" i="2"/>
  <c r="C83" i="2"/>
  <c r="C84" i="2" s="1"/>
  <c r="D120" i="4"/>
  <c r="C51" i="2" l="1"/>
  <c r="C159" i="2"/>
  <c r="C160" i="2" s="1"/>
  <c r="C158" i="2"/>
  <c r="C149" i="2"/>
  <c r="C121" i="2"/>
  <c r="C130" i="2"/>
  <c r="C131" i="2"/>
  <c r="C132" i="2" s="1"/>
  <c r="C110" i="2"/>
  <c r="C111" i="2" s="1"/>
  <c r="C98" i="2"/>
  <c r="C96" i="2"/>
  <c r="D68" i="4" s="1"/>
  <c r="C91" i="2"/>
  <c r="D61" i="2"/>
  <c r="C61" i="2"/>
  <c r="E60" i="2"/>
  <c r="E61" i="2" s="1"/>
  <c r="D58" i="2"/>
  <c r="E58" i="2" s="1"/>
  <c r="C58" i="2"/>
  <c r="C57" i="2"/>
  <c r="C78" i="2"/>
  <c r="C44" i="2"/>
  <c r="C45" i="2" s="1"/>
  <c r="D125" i="4" s="1"/>
  <c r="C39" i="2"/>
  <c r="C154" i="2"/>
  <c r="D76" i="4" s="1"/>
  <c r="D107" i="4"/>
  <c r="C144" i="2"/>
  <c r="D103" i="4" s="1"/>
  <c r="D96" i="4"/>
  <c r="C138" i="2"/>
  <c r="C128" i="2"/>
  <c r="D102" i="4"/>
  <c r="C146" i="2"/>
  <c r="D96" i="2"/>
  <c r="C95" i="2"/>
  <c r="H65" i="2"/>
  <c r="H64" i="2"/>
  <c r="C64" i="2"/>
  <c r="D16" i="4" s="1"/>
  <c r="C67" i="2"/>
  <c r="C65" i="2"/>
  <c r="D15" i="4" s="1"/>
  <c r="C66" i="2"/>
  <c r="C89" i="2"/>
  <c r="D67" i="4" s="1"/>
  <c r="C77" i="2"/>
  <c r="D86" i="4" s="1"/>
  <c r="C87" i="2"/>
  <c r="D83" i="4" s="1"/>
  <c r="D40" i="2"/>
  <c r="E70" i="2"/>
  <c r="D70" i="2"/>
  <c r="C70" i="2"/>
  <c r="E55" i="2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C41" i="1"/>
  <c r="D43" i="4" l="1"/>
  <c r="C92" i="2"/>
  <c r="C99" i="2"/>
  <c r="C100" i="2"/>
  <c r="D65" i="4"/>
  <c r="D91" i="4"/>
  <c r="E57" i="2"/>
  <c r="D70" i="4" s="1"/>
  <c r="C40" i="2"/>
  <c r="D66" i="4" s="1"/>
  <c r="Q40" i="1"/>
  <c r="Q39" i="1"/>
  <c r="P40" i="1"/>
  <c r="P39" i="1"/>
  <c r="O40" i="1"/>
  <c r="O39" i="1"/>
  <c r="N40" i="1"/>
  <c r="N39" i="1"/>
  <c r="M40" i="1"/>
  <c r="M39" i="1"/>
  <c r="L40" i="1"/>
  <c r="L39" i="1"/>
  <c r="C101" i="2" l="1"/>
  <c r="D126" i="4" s="1"/>
  <c r="D119" i="4"/>
  <c r="K40" i="1"/>
  <c r="K39" i="1"/>
  <c r="J40" i="1"/>
  <c r="J39" i="1"/>
  <c r="I40" i="1"/>
  <c r="I39" i="1"/>
  <c r="H40" i="1"/>
  <c r="H39" i="1"/>
  <c r="H38" i="1"/>
  <c r="H37" i="1"/>
  <c r="G40" i="1"/>
  <c r="G39" i="1"/>
  <c r="F40" i="1"/>
  <c r="F39" i="1"/>
  <c r="E40" i="1"/>
  <c r="E39" i="1"/>
  <c r="E38" i="1"/>
  <c r="E37" i="1"/>
  <c r="D40" i="1"/>
  <c r="D39" i="1"/>
  <c r="C40" i="1"/>
  <c r="D6" i="4" s="1"/>
  <c r="C39" i="1"/>
  <c r="D29" i="4" s="1"/>
  <c r="Q35" i="2"/>
  <c r="P35" i="2"/>
  <c r="O35" i="2"/>
  <c r="H35" i="2"/>
  <c r="E35" i="2"/>
  <c r="J22" i="2"/>
  <c r="J21" i="2"/>
  <c r="D21" i="4" s="1"/>
  <c r="I22" i="2"/>
  <c r="I21" i="2"/>
  <c r="H21" i="2"/>
  <c r="H22" i="2"/>
  <c r="G21" i="2"/>
  <c r="G22" i="2"/>
  <c r="F21" i="2"/>
  <c r="F22" i="2"/>
  <c r="E21" i="2"/>
  <c r="E22" i="2"/>
  <c r="D22" i="2"/>
  <c r="D21" i="2"/>
  <c r="C31" i="1"/>
  <c r="C32" i="1"/>
  <c r="D18" i="1"/>
  <c r="D19" i="1" s="1"/>
  <c r="D25" i="1"/>
  <c r="C25" i="1"/>
  <c r="C26" i="1" s="1"/>
  <c r="C18" i="1"/>
  <c r="C17" i="1"/>
  <c r="D12" i="4" l="1"/>
  <c r="C33" i="1"/>
  <c r="D42" i="4" s="1"/>
  <c r="D26" i="1"/>
  <c r="D41" i="4" s="1"/>
  <c r="C19" i="1"/>
  <c r="D40" i="4" s="1"/>
  <c r="M10" i="1"/>
  <c r="M12" i="1" s="1"/>
  <c r="L12" i="1"/>
  <c r="K10" i="1"/>
  <c r="H12" i="1"/>
  <c r="I11" i="1"/>
  <c r="I12" i="1" s="1"/>
  <c r="G12" i="1"/>
  <c r="E12" i="1"/>
  <c r="F12" i="1"/>
  <c r="D12" i="1"/>
  <c r="C22" i="2"/>
  <c r="C21" i="2"/>
  <c r="C29" i="2"/>
  <c r="C28" i="2"/>
  <c r="K12" i="1" l="1"/>
  <c r="D39" i="4" s="1"/>
  <c r="J12" i="2"/>
  <c r="J11" i="2"/>
  <c r="G11" i="2"/>
  <c r="I12" i="2"/>
  <c r="I11" i="2"/>
  <c r="H11" i="2"/>
  <c r="G12" i="2"/>
</calcChain>
</file>

<file path=xl/sharedStrings.xml><?xml version="1.0" encoding="utf-8"?>
<sst xmlns="http://schemas.openxmlformats.org/spreadsheetml/2006/main" count="584" uniqueCount="249">
  <si>
    <t>Cassaforma di legno</t>
  </si>
  <si>
    <t>Acciaio</t>
  </si>
  <si>
    <t>kg/mc</t>
  </si>
  <si>
    <t>mq/mc</t>
  </si>
  <si>
    <t>Tipologia</t>
  </si>
  <si>
    <t>1/A</t>
  </si>
  <si>
    <t>passo</t>
  </si>
  <si>
    <t>-</t>
  </si>
  <si>
    <t>kg</t>
  </si>
  <si>
    <t>Calcestruzzo [mc]</t>
  </si>
  <si>
    <t>Casseforme [mq]</t>
  </si>
  <si>
    <t>Quota [m]</t>
  </si>
  <si>
    <t>fi 8 [kg]</t>
  </si>
  <si>
    <t>fi 14 [kg]</t>
  </si>
  <si>
    <t>fi 10 [kg]</t>
  </si>
  <si>
    <t>fi 12 [kg]</t>
  </si>
  <si>
    <t>Spilli [kg]</t>
  </si>
  <si>
    <t>Staffe di chiusura [kg]</t>
  </si>
  <si>
    <t>Nuovi Setti #</t>
  </si>
  <si>
    <t>Lunghezza [m]</t>
  </si>
  <si>
    <t>Sup. Laterale [mq]</t>
  </si>
  <si>
    <t>Volume [mc]</t>
  </si>
  <si>
    <t>Anima+Scarpa</t>
  </si>
  <si>
    <t>Scarpa</t>
  </si>
  <si>
    <t>2/A</t>
  </si>
  <si>
    <t>3/A</t>
  </si>
  <si>
    <t>3/A - h=45</t>
  </si>
  <si>
    <t>3/A - h=130</t>
  </si>
  <si>
    <t>3/A - h=255</t>
  </si>
  <si>
    <t>3/S</t>
  </si>
  <si>
    <t>4/T</t>
  </si>
  <si>
    <t>RINGROSSO-BLOCCO A</t>
  </si>
  <si>
    <t>1-A</t>
  </si>
  <si>
    <t>Nuovi Speroni-A #</t>
  </si>
  <si>
    <t>RINGROSSO-BLOCCO B</t>
  </si>
  <si>
    <t>2/B</t>
  </si>
  <si>
    <t>2/C/D</t>
  </si>
  <si>
    <t>RINGROSSO-BLOCCO C/D</t>
  </si>
  <si>
    <t>RINGROSSO-BLOCCO E</t>
  </si>
  <si>
    <t>1/E</t>
  </si>
  <si>
    <t>47-B</t>
  </si>
  <si>
    <t>46-B</t>
  </si>
  <si>
    <t>48-B</t>
  </si>
  <si>
    <t>12-B</t>
  </si>
  <si>
    <t>18-B</t>
  </si>
  <si>
    <t>36-C/D</t>
  </si>
  <si>
    <t>44-E</t>
  </si>
  <si>
    <t>RINGROSSO-PILASTRI</t>
  </si>
  <si>
    <t>Connettori GTS</t>
  </si>
  <si>
    <t>Passo</t>
  </si>
  <si>
    <t>Altezza</t>
  </si>
  <si>
    <t>n. con. Parziali</t>
  </si>
  <si>
    <t>Pilastri</t>
  </si>
  <si>
    <t>fi 16 [kg]</t>
  </si>
  <si>
    <t>Staffe fi 8 [kg]</t>
  </si>
  <si>
    <t>Solaio Calpestio Blocco A</t>
  </si>
  <si>
    <t>B</t>
  </si>
  <si>
    <t>C/D</t>
  </si>
  <si>
    <t>E</t>
  </si>
  <si>
    <t>n. connettori</t>
  </si>
  <si>
    <t>Solaio speroni P Tribuna Blocco A</t>
  </si>
  <si>
    <t>Connettori fi 8 [kg]</t>
  </si>
  <si>
    <t>Connettore CTCEM</t>
  </si>
  <si>
    <t>Soletta</t>
  </si>
  <si>
    <t>Magrone</t>
  </si>
  <si>
    <t>Solaio celersap (lato tribuna)</t>
  </si>
  <si>
    <t>Solaio c.a. speroni PC Blocco A</t>
  </si>
  <si>
    <t>Cappello c.a. travi di copertura</t>
  </si>
  <si>
    <t>Rinforzo in acciaio travi di copertura</t>
  </si>
  <si>
    <t>Piatti 55x8</t>
  </si>
  <si>
    <t>Tirantini fi 12 [kg]</t>
  </si>
  <si>
    <t>Connettori CTL base 12/125</t>
  </si>
  <si>
    <t>Solaio Calpestio Blocco B</t>
  </si>
  <si>
    <t>Solaio copertura blocco B</t>
  </si>
  <si>
    <t>Nuove Travi elevazione BLOCCO</t>
  </si>
  <si>
    <t>Connettori [kg]</t>
  </si>
  <si>
    <t>Connettori CTCEM</t>
  </si>
  <si>
    <t>Solaio copertura blocco C/D</t>
  </si>
  <si>
    <t>Solaio plastbau corridoio Cop. C/D</t>
  </si>
  <si>
    <t>Solaio plastbau calpestio blocco C/D</t>
  </si>
  <si>
    <t>Solaio plastbau calpestio blocco E</t>
  </si>
  <si>
    <t>Solaio copertura blocco E</t>
  </si>
  <si>
    <t>Massetto [mq]</t>
  </si>
  <si>
    <t>Isolante [mq]</t>
  </si>
  <si>
    <t>Pavimento [mq]</t>
  </si>
  <si>
    <t>TNT + impermeabile</t>
  </si>
  <si>
    <t>Barriera al vapore [mq]</t>
  </si>
  <si>
    <t>Aggetto di gronda c.a.</t>
  </si>
  <si>
    <t>Solaio in legno copertura blocco A</t>
  </si>
  <si>
    <t>Assito [mq]</t>
  </si>
  <si>
    <t>TNT + impermeabile [mq]</t>
  </si>
  <si>
    <t>Rampa + Gradini</t>
  </si>
  <si>
    <t xml:space="preserve">Cupolex h 10 cm </t>
  </si>
  <si>
    <t>Cupolex h 10 cm [mq]</t>
  </si>
  <si>
    <t>Cupolex h 26 cm [mq]</t>
  </si>
  <si>
    <t>Cupolex h 45 cm [mq]</t>
  </si>
  <si>
    <t>Cupolex h 58 cm [mq]</t>
  </si>
  <si>
    <t>Cupolex h 71 cm [mq]</t>
  </si>
  <si>
    <t>Cupolex h 100 cm [mq]</t>
  </si>
  <si>
    <t>mq</t>
  </si>
  <si>
    <t>Blocco C/D</t>
  </si>
  <si>
    <t>mc</t>
  </si>
  <si>
    <t>Blocco A</t>
  </si>
  <si>
    <t>Blocco B</t>
  </si>
  <si>
    <t>Blocco E</t>
  </si>
  <si>
    <t>Scalette accesso spogliatoi</t>
  </si>
  <si>
    <t>cad</t>
  </si>
  <si>
    <t>Basamento gru</t>
  </si>
  <si>
    <t>Basamento GRU</t>
  </si>
  <si>
    <t>fi 20/20' [kg]</t>
  </si>
  <si>
    <t>Nuovi setti</t>
  </si>
  <si>
    <t>Nuovi cordoli in testa alla muratura</t>
  </si>
  <si>
    <t>Ringrosso pilastri</t>
  </si>
  <si>
    <t>Nuove fondazioni</t>
  </si>
  <si>
    <t>Staffe di collegamento ringrosso pilastri-nuovi setti</t>
  </si>
  <si>
    <t>Spinotti travi di copertura</t>
  </si>
  <si>
    <t>Armature longitudinali cappello trave di copertura</t>
  </si>
  <si>
    <t>Inghisaggio D14-16</t>
  </si>
  <si>
    <t>Inghisaggio D10-12</t>
  </si>
  <si>
    <t>Tirantini collegamento piastre</t>
  </si>
  <si>
    <t>Bulloni di collegamento travi (come esistenti)</t>
  </si>
  <si>
    <t>Nuovi cordoli su muratura</t>
  </si>
  <si>
    <t>Ringrosso fondazioni - B</t>
  </si>
  <si>
    <t>Ringrosso fondazioni - A</t>
  </si>
  <si>
    <t>Ringrosso fondazioni - C/D</t>
  </si>
  <si>
    <t>Ringrosso fondazioni - E</t>
  </si>
  <si>
    <t>Connettori incamiciatura pilastro</t>
  </si>
  <si>
    <t>Nuove travi</t>
  </si>
  <si>
    <t>Nuovi arcarecci</t>
  </si>
  <si>
    <t>Poroton</t>
  </si>
  <si>
    <t>Travetti aggetto di gronda</t>
  </si>
  <si>
    <t>Profili a L per appoggio tavolato</t>
  </si>
  <si>
    <t>Piatti per rinforzo travi copertura</t>
  </si>
  <si>
    <t>Fazzoletti irrigidimento</t>
  </si>
  <si>
    <t>Zincatura travi aggetto gronda</t>
  </si>
  <si>
    <t>Verniciatura travetti</t>
  </si>
  <si>
    <t>Piastre per aggetto travetti sbalzo</t>
  </si>
  <si>
    <t>Nodo Trave pilastro</t>
  </si>
  <si>
    <t>Tavolato</t>
  </si>
  <si>
    <t>Soletta solaio calpestio - A</t>
  </si>
  <si>
    <t>Soletta solaio copertura - A</t>
  </si>
  <si>
    <t>Porzione tribuna - A</t>
  </si>
  <si>
    <t>Solaio terra - B</t>
  </si>
  <si>
    <t>Rampa+Gradini</t>
  </si>
  <si>
    <t>Aggetto di gronda - A</t>
  </si>
  <si>
    <t>Soletta copertura - B</t>
  </si>
  <si>
    <t>Aggetti di gronda - B</t>
  </si>
  <si>
    <t>Soletta copertura - C/D</t>
  </si>
  <si>
    <t>Aggetti di gronda - C/D</t>
  </si>
  <si>
    <t>Soletta copertura - E</t>
  </si>
  <si>
    <t>Aggetti di gronda - E</t>
  </si>
  <si>
    <t>Solai speroni e gronda copertura - A</t>
  </si>
  <si>
    <t>Solaio speroni - A</t>
  </si>
  <si>
    <t>Soletta solai di copertura - A</t>
  </si>
  <si>
    <t>Soletta solai di copertura - B</t>
  </si>
  <si>
    <t>Soletta solai di copertura - C/D</t>
  </si>
  <si>
    <t>Soletta solai di copertura - E</t>
  </si>
  <si>
    <t>Soletta solai di calpestio verso blocco E- A</t>
  </si>
  <si>
    <t>Soletta solai di calpestio - C/D</t>
  </si>
  <si>
    <t>Soletta solai di calpestio - E</t>
  </si>
  <si>
    <t>fi 8 [kg] RES</t>
  </si>
  <si>
    <t>Nuovi solai speroni</t>
  </si>
  <si>
    <t>Staffe di collegamento aggetti di gronda-soletta di copertura</t>
  </si>
  <si>
    <t>armatura aggiuntiva soletta solaio copertura</t>
  </si>
  <si>
    <t>staffe aggiuntive solaio calpestio plastbau</t>
  </si>
  <si>
    <t>armatura solaio calpestio plastbau</t>
  </si>
  <si>
    <t>armatura solaio copertura plastbau</t>
  </si>
  <si>
    <t>staffe aggiuntive solaio copertura plastbau</t>
  </si>
  <si>
    <t>connettori soletta alle pareti perimetrali</t>
  </si>
  <si>
    <t>staffe fi 8 [kg]</t>
  </si>
  <si>
    <t>Connettori copertura arcarecci in legno</t>
  </si>
  <si>
    <t>Connettori copertura travi principali in legno</t>
  </si>
  <si>
    <t>Connettori su profili metallici</t>
  </si>
  <si>
    <t>Connettori solaio tribuna verso blocco E - A</t>
  </si>
  <si>
    <t>connettori sbalzi copertura speroni</t>
  </si>
  <si>
    <t>connettori solaio di copertura - B</t>
  </si>
  <si>
    <t>connettori solaio di copertura - C/D</t>
  </si>
  <si>
    <t>connettori solaio di copertura - E</t>
  </si>
  <si>
    <t>TRAVE</t>
  </si>
  <si>
    <t>ARCARECCIO</t>
  </si>
  <si>
    <t>CONNETTORI CTCEM [cad]</t>
  </si>
  <si>
    <t>Pannelli gronda esterna</t>
  </si>
  <si>
    <t>Casseforme</t>
  </si>
  <si>
    <t>Aggetto di gronda - B</t>
  </si>
  <si>
    <t>Aggetto di gronda - C/D</t>
  </si>
  <si>
    <t>Aggetto di gronda - E</t>
  </si>
  <si>
    <t>Cupolex h 10 cm  [mq]</t>
  </si>
  <si>
    <t>CUPOLEX - A 10 cm</t>
  </si>
  <si>
    <t>CUPOLEX - B 10 cm</t>
  </si>
  <si>
    <t>CUPOLEX - A  45 cm</t>
  </si>
  <si>
    <t>CUPOLEX - A  71 cm</t>
  </si>
  <si>
    <t>CUPOLEX - A  100 cm</t>
  </si>
  <si>
    <t>CUPOLEX - A  58 cm</t>
  </si>
  <si>
    <t>CUPOLEX - A  26 cm</t>
  </si>
  <si>
    <t>Plastbau CALPESTIO - C/D</t>
  </si>
  <si>
    <t>Plastbau COPERTURA - C/D</t>
  </si>
  <si>
    <t>Plastbau CALPESTIO - E</t>
  </si>
  <si>
    <t>Plastbau COPERTURA - B</t>
  </si>
  <si>
    <t>fi 8 [kg] sp. 15cm</t>
  </si>
  <si>
    <t>Calcestruzzo [mc] nei 15 cm</t>
  </si>
  <si>
    <t>Calcestruzzo LECA1800 [mc] nei 5 cm</t>
  </si>
  <si>
    <t>connettori soletta calpestio alle pareti perimetrali</t>
  </si>
  <si>
    <t>nuovo solaio speroni e aggetti di gronda in c.a. copertura</t>
  </si>
  <si>
    <t>Ferri nodo setto-soletta copertura</t>
  </si>
  <si>
    <t>connettori cordolo copertura a pareti</t>
  </si>
  <si>
    <t>Armatura gradini scalette e rampa verso spogliatoi</t>
  </si>
  <si>
    <t>Soletta copertura A</t>
  </si>
  <si>
    <t>RETE ANTIRIBALTAMENTO SUP. INTERNE</t>
  </si>
  <si>
    <t>RETE ANTIRIBALTAMENTO SUP. ESTERNE</t>
  </si>
  <si>
    <t>h</t>
  </si>
  <si>
    <t>Blocco CD</t>
  </si>
  <si>
    <t>3-A</t>
  </si>
  <si>
    <t>54-A</t>
  </si>
  <si>
    <t>56-A</t>
  </si>
  <si>
    <t>60-A</t>
  </si>
  <si>
    <t>64-A</t>
  </si>
  <si>
    <t>peso fi16(kg/m)</t>
  </si>
  <si>
    <t>lunghezza</t>
  </si>
  <si>
    <t>nodo 19</t>
  </si>
  <si>
    <t>n ferri</t>
  </si>
  <si>
    <t>nodo 20</t>
  </si>
  <si>
    <t>nodo 21</t>
  </si>
  <si>
    <t>kg totali</t>
  </si>
  <si>
    <t>Staffe di colegamento pilastro [kg]</t>
  </si>
  <si>
    <t>1-Q3</t>
  </si>
  <si>
    <t>2-Q3</t>
  </si>
  <si>
    <t>3-Q3</t>
  </si>
  <si>
    <t>1-Q6</t>
  </si>
  <si>
    <t>2-Q6</t>
  </si>
  <si>
    <t>RETE fi 8/10 [kg]</t>
  </si>
  <si>
    <t>Lunghezza</t>
  </si>
  <si>
    <t>n.</t>
  </si>
  <si>
    <t>setti con fi16</t>
  </si>
  <si>
    <t>setti con fi8/12</t>
  </si>
  <si>
    <t>Totale inghisaggi</t>
  </si>
  <si>
    <t>FERRI di collegamento nuovi setti speroni sotto h:2.55</t>
  </si>
  <si>
    <t>fi16</t>
  </si>
  <si>
    <t>ancoraggio solai blocchi + pilastri + setti</t>
  </si>
  <si>
    <t>inghisaggi 2023</t>
  </si>
  <si>
    <t>inghisaggi 2020</t>
  </si>
  <si>
    <t>N. voce</t>
  </si>
  <si>
    <t>Nuovi setti Blocco A</t>
  </si>
  <si>
    <t>Manicotti</t>
  </si>
  <si>
    <t>Trattamento legno</t>
  </si>
  <si>
    <t>Tamponatura blocco A sopra nuovi setti</t>
  </si>
  <si>
    <t>Cuci e scuci</t>
  </si>
  <si>
    <t>rete nuova soletta aggetto gronda blocco B</t>
  </si>
  <si>
    <t>rete nuova soletta aggetto gronda blocco CD</t>
  </si>
  <si>
    <t>rete nuova soletta aggetto gronda blocco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</si>
</sst>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lightGray"/>
    </fill>
    <fill>
      <patternFill patternType="solid">
        <fgColor rgb="FF00B0F0"/>
        <bgColor indexed="64"/>
      </patternFill>
    </fill>
    <fill>
      <patternFill patternType="mediumGray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1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2" fontId="0" fillId="0" borderId="0" xfId="0" applyNumberFormat="1" applyAlignment="1">
      <alignment horizontal="left" vertical="center"/>
    </xf>
    <xf numFmtId="0" fontId="0" fillId="5" borderId="0" xfId="0" applyFill="1" applyAlignment="1">
      <alignment horizontal="center" vertical="center"/>
    </xf>
    <xf numFmtId="2" fontId="0" fillId="5" borderId="0" xfId="0" applyNumberFormat="1" applyFill="1" applyAlignment="1">
      <alignment horizontal="center" vertical="center"/>
    </xf>
    <xf numFmtId="1" fontId="0" fillId="5" borderId="0" xfId="0" applyNumberFormat="1" applyFill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2" fontId="4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1" fontId="6" fillId="2" borderId="0" xfId="0" applyNumberFormat="1" applyFont="1" applyFill="1" applyAlignment="1">
      <alignment horizontal="center" vertical="center"/>
    </xf>
    <xf numFmtId="2" fontId="6" fillId="4" borderId="0" xfId="0" applyNumberFormat="1" applyFont="1" applyFill="1" applyAlignment="1">
      <alignment horizontal="center" vertical="center"/>
    </xf>
    <xf numFmtId="1" fontId="6" fillId="4" borderId="0" xfId="0" applyNumberFormat="1" applyFont="1" applyFill="1" applyAlignment="1">
      <alignment horizontal="center" vertical="center"/>
    </xf>
    <xf numFmtId="0" fontId="0" fillId="5" borderId="0" xfId="0" applyFill="1"/>
    <xf numFmtId="2" fontId="1" fillId="0" borderId="0" xfId="0" applyNumberFormat="1" applyFont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8FF8D-AB97-4DBC-89AD-D539A23BA063}">
  <dimension ref="B1:Y138"/>
  <sheetViews>
    <sheetView tabSelected="1" workbookViewId="0">
      <selection activeCell="K69" sqref="K69:P75"/>
    </sheetView>
  </sheetViews>
  <sheetFormatPr defaultRowHeight="15" x14ac:dyDescent="0.25"/>
  <cols>
    <col min="1" max="2" width="9.140625" style="1"/>
    <col min="3" max="3" width="55.85546875" style="1" bestFit="1" customWidth="1"/>
    <col min="4" max="4" width="9.7109375" style="2" bestFit="1" customWidth="1"/>
    <col min="5" max="5" width="9.140625" style="1"/>
    <col min="6" max="6" width="10.42578125" style="1" bestFit="1" customWidth="1"/>
    <col min="7" max="7" width="9.140625" style="1"/>
    <col min="8" max="8" width="11.7109375" style="1" customWidth="1"/>
    <col min="9" max="9" width="13.28515625" style="1" customWidth="1"/>
    <col min="10" max="10" width="16.28515625" style="1" customWidth="1"/>
    <col min="11" max="11" width="11.42578125" style="1" bestFit="1" customWidth="1"/>
    <col min="12" max="16384" width="9.140625" style="1"/>
  </cols>
  <sheetData>
    <row r="1" spans="2:6" x14ac:dyDescent="0.25">
      <c r="B1" s="1" t="s">
        <v>240</v>
      </c>
    </row>
    <row r="2" spans="2:6" x14ac:dyDescent="0.25">
      <c r="B2" s="1">
        <v>43</v>
      </c>
      <c r="C2" s="1" t="s">
        <v>103</v>
      </c>
      <c r="D2" s="2">
        <f>+NUOVI!D29+NUOVI!E29+NUOVI!F29+NUOVI!G29+NUOVI!H29</f>
        <v>21.919999999999998</v>
      </c>
      <c r="E2" s="1" t="s">
        <v>99</v>
      </c>
    </row>
    <row r="3" spans="2:6" x14ac:dyDescent="0.25">
      <c r="B3" s="1">
        <v>43</v>
      </c>
      <c r="C3" s="1" t="s">
        <v>100</v>
      </c>
      <c r="D3" s="2">
        <f>+NUOVI!I29</f>
        <v>51.42</v>
      </c>
      <c r="E3" s="1" t="s">
        <v>99</v>
      </c>
    </row>
    <row r="4" spans="2:6" x14ac:dyDescent="0.25">
      <c r="B4" s="1">
        <v>43</v>
      </c>
      <c r="C4" s="1" t="s">
        <v>104</v>
      </c>
      <c r="D4" s="2">
        <f>+NUOVI!J29</f>
        <v>62.81</v>
      </c>
      <c r="E4" s="1" t="s">
        <v>99</v>
      </c>
    </row>
    <row r="5" spans="2:6" x14ac:dyDescent="0.25">
      <c r="B5" s="1">
        <v>43</v>
      </c>
      <c r="C5" s="1" t="s">
        <v>107</v>
      </c>
      <c r="D5" s="2">
        <f>+NUOVI!C177</f>
        <v>14.399999999999999</v>
      </c>
      <c r="E5" s="1" t="s">
        <v>99</v>
      </c>
    </row>
    <row r="6" spans="2:6" x14ac:dyDescent="0.25">
      <c r="B6" s="1">
        <v>44</v>
      </c>
      <c r="C6" s="1" t="s">
        <v>112</v>
      </c>
      <c r="D6" s="2">
        <f>RINGROSSI!C40+RINGROSSI!D40+RINGROSSI!E40+RINGROSSI!F40+RINGROSSI!G40+RINGROSSI!H40+RINGROSSI!I40+RINGROSSI!J40+RINGROSSI!K40+RINGROSSI!L40+RINGROSSI!M40+RINGROSSI!N40+RINGROSSI!O40+RINGROSSI!P40+RINGROSSI!Q40+RINGROSSI!R40</f>
        <v>261.01600000000002</v>
      </c>
      <c r="E6" s="1" t="s">
        <v>99</v>
      </c>
    </row>
    <row r="7" spans="2:6" x14ac:dyDescent="0.25">
      <c r="B7" s="1">
        <v>44</v>
      </c>
      <c r="C7" s="1" t="s">
        <v>110</v>
      </c>
      <c r="D7" s="2">
        <f>+NUOVI!C18+NUOVI!D18+NUOVI!E18+NUOVI!F18+NUOVI!G18+NUOVI!H18+NUOVI!I18+NUOVI!J18+NUOVI!C29+NUOVI!K29+NUOVI!L29+NUOVI!M29+NUOVI!N29+NUOVI!O29</f>
        <v>890.56</v>
      </c>
      <c r="E7" s="1" t="s">
        <v>99</v>
      </c>
    </row>
    <row r="8" spans="2:6" x14ac:dyDescent="0.25">
      <c r="B8" s="1">
        <v>44</v>
      </c>
      <c r="C8" s="1" t="s">
        <v>111</v>
      </c>
      <c r="D8" s="2">
        <f>+NUOVI!C7</f>
        <v>15.67</v>
      </c>
      <c r="E8" s="1" t="s">
        <v>99</v>
      </c>
      <c r="F8" s="1" t="s">
        <v>103</v>
      </c>
    </row>
    <row r="9" spans="2:6" x14ac:dyDescent="0.25">
      <c r="B9" s="1">
        <v>44</v>
      </c>
      <c r="C9" s="1" t="s">
        <v>111</v>
      </c>
      <c r="D9" s="2">
        <f>+NUOVI!D7</f>
        <v>18.25</v>
      </c>
      <c r="E9" s="1" t="s">
        <v>99</v>
      </c>
      <c r="F9" s="1" t="s">
        <v>100</v>
      </c>
    </row>
    <row r="10" spans="2:6" x14ac:dyDescent="0.25">
      <c r="B10" s="1">
        <v>44</v>
      </c>
      <c r="C10" s="1" t="s">
        <v>111</v>
      </c>
      <c r="D10" s="2">
        <f>+NUOVI!E7</f>
        <v>8.1999999999999993</v>
      </c>
      <c r="E10" s="1" t="s">
        <v>99</v>
      </c>
      <c r="F10" s="1" t="s">
        <v>104</v>
      </c>
    </row>
    <row r="11" spans="2:6" x14ac:dyDescent="0.25">
      <c r="B11" s="1">
        <v>45</v>
      </c>
      <c r="C11" s="1" t="s">
        <v>241</v>
      </c>
      <c r="D11" s="2">
        <f>SUM(NUOVI!C11:J16)+SUM(NUOVI!C21:C27)+SUM(NUOVI!K21:O27)-SUM(NUOVI!C12:J12)</f>
        <v>29245.969354100002</v>
      </c>
      <c r="E11" s="1" t="s">
        <v>8</v>
      </c>
    </row>
    <row r="12" spans="2:6" x14ac:dyDescent="0.25">
      <c r="B12" s="1">
        <v>45</v>
      </c>
      <c r="C12" s="1" t="s">
        <v>112</v>
      </c>
      <c r="D12" s="2">
        <f>SUM(RINGROSSI!C37:R38)</f>
        <v>1168.9551000000001</v>
      </c>
      <c r="E12" s="1" t="s">
        <v>8</v>
      </c>
    </row>
    <row r="13" spans="2:6" x14ac:dyDescent="0.25">
      <c r="B13" s="1">
        <v>45</v>
      </c>
      <c r="C13" s="1" t="s">
        <v>114</v>
      </c>
      <c r="D13" s="2">
        <f>+SUM(NUOVI!C12:J12)+SUM(NUOVI!H45:J45)</f>
        <v>1449.423421</v>
      </c>
      <c r="E13" s="1" t="s">
        <v>8</v>
      </c>
    </row>
    <row r="14" spans="2:6" x14ac:dyDescent="0.25">
      <c r="B14" s="1">
        <v>45</v>
      </c>
      <c r="C14" s="1" t="s">
        <v>107</v>
      </c>
      <c r="D14" s="2">
        <f>+NUOVI!C175</f>
        <v>21.355200000000004</v>
      </c>
      <c r="E14" s="1" t="s">
        <v>8</v>
      </c>
    </row>
    <row r="15" spans="2:6" x14ac:dyDescent="0.25">
      <c r="B15" s="1">
        <v>45</v>
      </c>
      <c r="C15" s="1" t="s">
        <v>116</v>
      </c>
      <c r="D15" s="2">
        <f>+NUOVI!C65</f>
        <v>373.03920000000005</v>
      </c>
      <c r="E15" s="1" t="s">
        <v>8</v>
      </c>
    </row>
    <row r="16" spans="2:6" x14ac:dyDescent="0.25">
      <c r="B16" s="1">
        <v>45</v>
      </c>
      <c r="C16" s="1" t="s">
        <v>115</v>
      </c>
      <c r="D16" s="2">
        <f>+NUOVI!C64</f>
        <v>303.47850000000005</v>
      </c>
      <c r="E16" s="1" t="s">
        <v>8</v>
      </c>
    </row>
    <row r="17" spans="2:22" x14ac:dyDescent="0.25">
      <c r="B17" s="1">
        <v>45</v>
      </c>
      <c r="C17" s="1" t="s">
        <v>113</v>
      </c>
      <c r="D17" s="2">
        <f>+SUM(NUOVI!D21:H27)</f>
        <v>741.15823849999992</v>
      </c>
      <c r="E17" s="1" t="s">
        <v>8</v>
      </c>
      <c r="F17" s="1" t="s">
        <v>103</v>
      </c>
    </row>
    <row r="18" spans="2:22" x14ac:dyDescent="0.25">
      <c r="B18" s="1">
        <v>45</v>
      </c>
      <c r="C18" s="1" t="s">
        <v>111</v>
      </c>
      <c r="D18" s="2">
        <f>SUM(NUOVI!C4:C5)</f>
        <v>810.9079999999999</v>
      </c>
      <c r="E18" s="1" t="s">
        <v>8</v>
      </c>
    </row>
    <row r="19" spans="2:22" x14ac:dyDescent="0.25">
      <c r="B19" s="1">
        <v>45</v>
      </c>
      <c r="C19" s="1" t="s">
        <v>113</v>
      </c>
      <c r="D19" s="2">
        <f>+SUM(NUOVI!I21:I27)</f>
        <v>1873.57144625</v>
      </c>
      <c r="E19" s="1" t="s">
        <v>8</v>
      </c>
      <c r="F19" s="1" t="s">
        <v>100</v>
      </c>
    </row>
    <row r="20" spans="2:22" x14ac:dyDescent="0.25">
      <c r="B20" s="1">
        <v>45</v>
      </c>
      <c r="C20" s="1" t="s">
        <v>111</v>
      </c>
      <c r="D20" s="2">
        <f>SUM(NUOVI!D4:D5)</f>
        <v>979.99399999999991</v>
      </c>
      <c r="E20" s="1" t="s">
        <v>8</v>
      </c>
    </row>
    <row r="21" spans="2:22" x14ac:dyDescent="0.25">
      <c r="B21" s="1">
        <v>45</v>
      </c>
      <c r="C21" s="1" t="s">
        <v>113</v>
      </c>
      <c r="D21" s="2">
        <f>+SUM(NUOVI!J21:J26)</f>
        <v>1288.443624125</v>
      </c>
      <c r="E21" s="1" t="s">
        <v>8</v>
      </c>
      <c r="F21" s="1" t="s">
        <v>104</v>
      </c>
    </row>
    <row r="22" spans="2:22" x14ac:dyDescent="0.25">
      <c r="B22" s="1">
        <v>45</v>
      </c>
      <c r="C22" s="1" t="s">
        <v>111</v>
      </c>
      <c r="D22" s="2">
        <f>+SUM(NUOVI!E4:E5)</f>
        <v>451.1</v>
      </c>
      <c r="E22" s="1" t="s">
        <v>8</v>
      </c>
    </row>
    <row r="23" spans="2:22" x14ac:dyDescent="0.25">
      <c r="B23" s="1">
        <v>46</v>
      </c>
      <c r="C23" s="1" t="s">
        <v>242</v>
      </c>
      <c r="D23" s="2">
        <f>+SUM(NUOVI!C35:D35,NUOVI!F35:G35,NUOVI!I35:O35)</f>
        <v>1027</v>
      </c>
      <c r="E23" s="1" t="s">
        <v>106</v>
      </c>
      <c r="J23" s="5" t="s">
        <v>238</v>
      </c>
    </row>
    <row r="24" spans="2:22" x14ac:dyDescent="0.25">
      <c r="B24" s="1">
        <v>47</v>
      </c>
      <c r="C24" s="1" t="s">
        <v>117</v>
      </c>
      <c r="D24" s="2">
        <f>3*26+(24+24+18.93+22.53+22.43)/0.33+32.56/0.33+SUM(K34:V34,K41:M41)</f>
        <v>1900.1272727272728</v>
      </c>
      <c r="E24" s="1" t="s">
        <v>106</v>
      </c>
      <c r="F24" s="3" t="s">
        <v>237</v>
      </c>
      <c r="J24" s="5" t="s">
        <v>233</v>
      </c>
      <c r="K24" s="1">
        <v>18</v>
      </c>
      <c r="L24" s="1">
        <v>44</v>
      </c>
      <c r="M24" s="1">
        <v>46</v>
      </c>
    </row>
    <row r="25" spans="2:22" x14ac:dyDescent="0.25">
      <c r="B25" s="1">
        <v>48</v>
      </c>
      <c r="C25" s="1" t="s">
        <v>118</v>
      </c>
      <c r="D25" s="2">
        <f>(9/0.25+4.3/0.25+2.5/0.25+5.7/0.25+5.7/0.25+2.38/0.25+(0.71+0.65)/0.25+(0.74+0.65)/0.25+(1.4+0.91)/0.25+6.4/0.05+8.7/0.05+5.9/0.05+20.2/0.05+12.7/0.05+2*7.95/0.5+9/0.25+19.85/0.1+19.85/0.1+12.23/0.2+12.23/0.2)*2+6*11*2+8*64+2*34.79*2/3+2*(34.79*2+24.66*2)*(1/0.2)+((16.47+10.86+10.7+14.2+14.2+14.2+10.82+10.71+73.88+68.65+17.73+17.73)/0.12)+((9.04+6.66+8.2+1.3+4.53+13.48+19.82+20.03+20.03+13.43+21.79+19.92+19.94)/0.15)+(SUM(K28:M28))-(SUM(K49:Y49))</f>
        <v>8010.31</v>
      </c>
      <c r="E25" s="1" t="s">
        <v>106</v>
      </c>
      <c r="J25" s="1" t="s">
        <v>230</v>
      </c>
      <c r="K25" s="1">
        <v>5.59</v>
      </c>
      <c r="L25" s="1">
        <f>12.23-0.6</f>
        <v>11.63</v>
      </c>
      <c r="M25" s="1">
        <v>2.2799999999999998</v>
      </c>
    </row>
    <row r="26" spans="2:22" x14ac:dyDescent="0.25">
      <c r="B26" s="1">
        <v>49</v>
      </c>
      <c r="C26" s="1" t="s">
        <v>119</v>
      </c>
      <c r="D26" s="2">
        <f>2*(34.79*2+24.66*2)*(1/0.2)</f>
        <v>1189</v>
      </c>
      <c r="E26" s="1" t="s">
        <v>106</v>
      </c>
      <c r="J26" s="1" t="s">
        <v>49</v>
      </c>
      <c r="K26" s="1">
        <v>0.1</v>
      </c>
      <c r="L26" s="1">
        <v>0.1</v>
      </c>
      <c r="M26" s="1">
        <v>0.1</v>
      </c>
    </row>
    <row r="27" spans="2:22" x14ac:dyDescent="0.25">
      <c r="B27" s="1">
        <v>49</v>
      </c>
      <c r="C27" s="1" t="s">
        <v>120</v>
      </c>
      <c r="D27" s="2">
        <f>2*5*2</f>
        <v>20</v>
      </c>
      <c r="E27" s="1" t="s">
        <v>106</v>
      </c>
      <c r="J27" s="1" t="s">
        <v>231</v>
      </c>
      <c r="K27" s="1">
        <v>2</v>
      </c>
      <c r="L27" s="1">
        <v>2</v>
      </c>
      <c r="M27" s="1">
        <v>2</v>
      </c>
    </row>
    <row r="28" spans="2:22" x14ac:dyDescent="0.25">
      <c r="B28" s="1">
        <v>50</v>
      </c>
      <c r="C28" s="1" t="s">
        <v>110</v>
      </c>
      <c r="D28" s="2">
        <f>+SUM(NUOVI!C17:J17)+SUM(NUOVI!C28:C28)+SUM(NUOVI!K28:O28)</f>
        <v>159.65800000000002</v>
      </c>
      <c r="E28" s="1" t="s">
        <v>101</v>
      </c>
      <c r="F28" s="1" t="s">
        <v>102</v>
      </c>
      <c r="J28" s="1" t="s">
        <v>234</v>
      </c>
      <c r="K28" s="4">
        <f>K25/K26*K27</f>
        <v>111.8</v>
      </c>
      <c r="L28" s="4">
        <f>L25/L26*L27</f>
        <v>232.6</v>
      </c>
      <c r="M28" s="4">
        <f>M25/M26*M27</f>
        <v>45.599999999999994</v>
      </c>
    </row>
    <row r="29" spans="2:22" x14ac:dyDescent="0.25">
      <c r="B29" s="1">
        <v>50</v>
      </c>
      <c r="C29" s="1" t="s">
        <v>112</v>
      </c>
      <c r="D29" s="2">
        <f>+SUM(RINGROSSI!C39:R39)</f>
        <v>15.144300000000001</v>
      </c>
      <c r="E29" s="1" t="s">
        <v>101</v>
      </c>
    </row>
    <row r="30" spans="2:22" x14ac:dyDescent="0.25">
      <c r="J30" s="5" t="s">
        <v>232</v>
      </c>
      <c r="K30" s="1">
        <v>12</v>
      </c>
      <c r="L30" s="1">
        <v>30</v>
      </c>
      <c r="M30" s="1">
        <v>31</v>
      </c>
      <c r="N30" s="1">
        <v>38</v>
      </c>
      <c r="O30" s="1">
        <v>39</v>
      </c>
      <c r="P30" s="1">
        <v>40</v>
      </c>
      <c r="Q30" s="1">
        <v>41</v>
      </c>
      <c r="R30" s="1">
        <v>42</v>
      </c>
      <c r="S30" s="1">
        <v>43</v>
      </c>
      <c r="T30" s="1">
        <v>36</v>
      </c>
      <c r="U30" s="1">
        <v>47</v>
      </c>
      <c r="V30" s="1">
        <v>48</v>
      </c>
    </row>
    <row r="31" spans="2:22" x14ac:dyDescent="0.25">
      <c r="B31" s="1">
        <v>50</v>
      </c>
      <c r="C31" s="1" t="s">
        <v>121</v>
      </c>
      <c r="D31" s="2">
        <f>+NUOVI!C6</f>
        <v>3.93</v>
      </c>
      <c r="E31" s="1" t="s">
        <v>101</v>
      </c>
      <c r="F31" s="1" t="s">
        <v>103</v>
      </c>
      <c r="J31" s="1" t="s">
        <v>230</v>
      </c>
      <c r="K31" s="1">
        <v>5.21</v>
      </c>
      <c r="L31" s="1">
        <v>4.3</v>
      </c>
      <c r="M31" s="1">
        <v>2.46</v>
      </c>
      <c r="N31" s="1">
        <v>4.88</v>
      </c>
      <c r="O31" s="1">
        <v>2.86</v>
      </c>
      <c r="P31" s="1">
        <v>2.89</v>
      </c>
      <c r="Q31" s="1">
        <v>4.8099999999999996</v>
      </c>
      <c r="R31" s="1">
        <v>4.3</v>
      </c>
      <c r="S31" s="1">
        <v>2.46</v>
      </c>
      <c r="T31" s="1">
        <f>(19.85-0.6)</f>
        <v>19.25</v>
      </c>
      <c r="U31" s="1">
        <v>3.31</v>
      </c>
      <c r="V31" s="1">
        <v>2.29</v>
      </c>
    </row>
    <row r="32" spans="2:22" x14ac:dyDescent="0.25">
      <c r="B32" s="1">
        <v>50</v>
      </c>
      <c r="C32" s="1" t="s">
        <v>121</v>
      </c>
      <c r="D32" s="2">
        <f>+NUOVI!D6</f>
        <v>4.58</v>
      </c>
      <c r="E32" s="1" t="s">
        <v>101</v>
      </c>
      <c r="F32" s="1" t="s">
        <v>100</v>
      </c>
      <c r="J32" s="1" t="s">
        <v>49</v>
      </c>
      <c r="K32" s="1">
        <v>0.1</v>
      </c>
      <c r="L32" s="1">
        <v>0.1</v>
      </c>
      <c r="M32" s="1">
        <v>0.1</v>
      </c>
      <c r="N32" s="1">
        <v>0.1</v>
      </c>
      <c r="O32" s="1">
        <v>0.1</v>
      </c>
      <c r="P32" s="1">
        <v>0.1</v>
      </c>
      <c r="Q32" s="1">
        <v>0.1</v>
      </c>
      <c r="R32" s="1">
        <v>0.1</v>
      </c>
      <c r="S32" s="1">
        <v>0.1</v>
      </c>
      <c r="T32" s="1">
        <v>0.1</v>
      </c>
      <c r="U32" s="1">
        <v>0.1</v>
      </c>
      <c r="V32" s="1">
        <v>0.1</v>
      </c>
    </row>
    <row r="33" spans="2:25" x14ac:dyDescent="0.25">
      <c r="B33" s="1">
        <v>50</v>
      </c>
      <c r="C33" s="1" t="s">
        <v>121</v>
      </c>
      <c r="D33" s="2">
        <f>+NUOVI!E6</f>
        <v>2.04</v>
      </c>
      <c r="E33" s="1" t="s">
        <v>101</v>
      </c>
      <c r="F33" s="1" t="s">
        <v>104</v>
      </c>
      <c r="J33" s="1" t="s">
        <v>231</v>
      </c>
      <c r="K33" s="1">
        <v>2</v>
      </c>
      <c r="L33" s="1">
        <v>2</v>
      </c>
      <c r="M33" s="1">
        <v>2</v>
      </c>
      <c r="N33" s="1">
        <v>2</v>
      </c>
      <c r="O33" s="1">
        <v>2</v>
      </c>
      <c r="P33" s="1">
        <v>2</v>
      </c>
      <c r="Q33" s="1">
        <v>2</v>
      </c>
      <c r="R33" s="1">
        <v>2</v>
      </c>
      <c r="S33" s="1">
        <v>2</v>
      </c>
      <c r="T33" s="1">
        <v>2</v>
      </c>
      <c r="U33" s="1">
        <v>2</v>
      </c>
      <c r="V33" s="1">
        <v>2</v>
      </c>
    </row>
    <row r="34" spans="2:25" x14ac:dyDescent="0.25">
      <c r="J34" s="1" t="s">
        <v>234</v>
      </c>
      <c r="K34" s="4">
        <f>K31/K32*K33</f>
        <v>104.19999999999999</v>
      </c>
      <c r="L34" s="4">
        <f>L31/L32*L33</f>
        <v>85.999999999999986</v>
      </c>
      <c r="M34" s="4">
        <f t="shared" ref="M34:V34" si="0">M31/M32*M33</f>
        <v>49.199999999999996</v>
      </c>
      <c r="N34" s="4">
        <f t="shared" si="0"/>
        <v>97.6</v>
      </c>
      <c r="O34" s="4">
        <f t="shared" si="0"/>
        <v>57.199999999999996</v>
      </c>
      <c r="P34" s="4">
        <f t="shared" si="0"/>
        <v>57.8</v>
      </c>
      <c r="Q34" s="4">
        <f t="shared" si="0"/>
        <v>96.199999999999989</v>
      </c>
      <c r="R34" s="4">
        <f t="shared" si="0"/>
        <v>85.999999999999986</v>
      </c>
      <c r="S34" s="4">
        <f t="shared" si="0"/>
        <v>49.199999999999996</v>
      </c>
      <c r="T34" s="4">
        <f t="shared" si="0"/>
        <v>385</v>
      </c>
      <c r="U34" s="4">
        <f t="shared" si="0"/>
        <v>66.2</v>
      </c>
      <c r="V34" s="4">
        <f t="shared" si="0"/>
        <v>45.8</v>
      </c>
      <c r="W34" s="4"/>
      <c r="X34" s="4"/>
    </row>
    <row r="35" spans="2:25" x14ac:dyDescent="0.25">
      <c r="B35" s="1">
        <v>51</v>
      </c>
      <c r="C35" s="1" t="s">
        <v>113</v>
      </c>
      <c r="D35" s="2">
        <f>+SUM(NUOVI!D28:H28)</f>
        <v>2.5700000000000003</v>
      </c>
      <c r="E35" s="1" t="s">
        <v>101</v>
      </c>
      <c r="F35" s="1" t="s">
        <v>103</v>
      </c>
    </row>
    <row r="36" spans="2:25" x14ac:dyDescent="0.25">
      <c r="B36" s="1">
        <v>51</v>
      </c>
      <c r="C36" s="1" t="s">
        <v>113</v>
      </c>
      <c r="D36" s="2">
        <f>+NUOVI!I28</f>
        <v>6.27</v>
      </c>
      <c r="E36" s="1" t="s">
        <v>101</v>
      </c>
      <c r="F36" s="1" t="s">
        <v>100</v>
      </c>
      <c r="J36" s="26" t="s">
        <v>235</v>
      </c>
      <c r="K36" s="16"/>
      <c r="L36" s="16"/>
      <c r="M36" s="16"/>
    </row>
    <row r="37" spans="2:25" x14ac:dyDescent="0.25">
      <c r="B37" s="1">
        <v>51</v>
      </c>
      <c r="C37" s="1" t="s">
        <v>113</v>
      </c>
      <c r="D37" s="2">
        <f>+NUOVI!J28</f>
        <v>7.62</v>
      </c>
      <c r="E37" s="1" t="s">
        <v>101</v>
      </c>
      <c r="F37" s="1" t="s">
        <v>104</v>
      </c>
      <c r="J37" s="2" t="s">
        <v>236</v>
      </c>
      <c r="K37" s="2" t="s">
        <v>218</v>
      </c>
      <c r="L37" s="2" t="s">
        <v>220</v>
      </c>
      <c r="M37" s="2" t="s">
        <v>221</v>
      </c>
    </row>
    <row r="38" spans="2:25" x14ac:dyDescent="0.25">
      <c r="B38" s="1">
        <v>51</v>
      </c>
      <c r="C38" s="1" t="s">
        <v>107</v>
      </c>
      <c r="D38" s="2">
        <f>+NUOVI!C176</f>
        <v>21.599999999999998</v>
      </c>
      <c r="E38" s="1" t="s">
        <v>101</v>
      </c>
      <c r="J38" s="2" t="s">
        <v>6</v>
      </c>
      <c r="K38" s="2">
        <v>0.1</v>
      </c>
      <c r="L38" s="2">
        <v>0.1</v>
      </c>
      <c r="M38" s="2">
        <v>0.1</v>
      </c>
    </row>
    <row r="39" spans="2:25" x14ac:dyDescent="0.25">
      <c r="B39" s="1">
        <v>52</v>
      </c>
      <c r="C39" s="1" t="s">
        <v>123</v>
      </c>
      <c r="D39" s="2">
        <f>+SUM(RINGROSSI!C12:M12)</f>
        <v>172.30091999999999</v>
      </c>
      <c r="E39" s="1" t="s">
        <v>101</v>
      </c>
      <c r="J39" s="2" t="s">
        <v>219</v>
      </c>
      <c r="K39" s="2">
        <v>2</v>
      </c>
      <c r="L39" s="2">
        <v>4</v>
      </c>
      <c r="M39" s="2">
        <v>2</v>
      </c>
    </row>
    <row r="40" spans="2:25" x14ac:dyDescent="0.25">
      <c r="B40" s="1">
        <v>52</v>
      </c>
      <c r="C40" s="1" t="s">
        <v>122</v>
      </c>
      <c r="D40" s="2">
        <f>+SUM(RINGROSSI!C19:D19)</f>
        <v>15.942880000000001</v>
      </c>
      <c r="E40" s="1" t="s">
        <v>101</v>
      </c>
      <c r="J40" s="2" t="s">
        <v>209</v>
      </c>
      <c r="K40" s="2">
        <v>2.5499999999999998</v>
      </c>
      <c r="L40" s="2">
        <v>2.5499999999999998</v>
      </c>
      <c r="M40" s="2">
        <v>2.5499999999999998</v>
      </c>
    </row>
    <row r="41" spans="2:25" x14ac:dyDescent="0.25">
      <c r="B41" s="1">
        <v>52</v>
      </c>
      <c r="C41" s="1" t="s">
        <v>124</v>
      </c>
      <c r="D41" s="2">
        <f>+SUM(RINGROSSI!C26:D26)</f>
        <v>78.851649999999992</v>
      </c>
      <c r="E41" s="1" t="s">
        <v>101</v>
      </c>
      <c r="J41" s="2" t="s">
        <v>234</v>
      </c>
      <c r="K41" s="2">
        <f>K40/K38*K39</f>
        <v>50.999999999999993</v>
      </c>
      <c r="L41" s="2">
        <f t="shared" ref="L41:M41" si="1">L40/L38*L39</f>
        <v>101.99999999999999</v>
      </c>
      <c r="M41" s="2">
        <f t="shared" si="1"/>
        <v>50.999999999999993</v>
      </c>
    </row>
    <row r="42" spans="2:25" x14ac:dyDescent="0.25">
      <c r="B42" s="1">
        <v>52</v>
      </c>
      <c r="C42" s="1" t="s">
        <v>125</v>
      </c>
      <c r="D42" s="2">
        <f>+RINGROSSI!C33</f>
        <v>13.097999999999999</v>
      </c>
      <c r="E42" s="1" t="s">
        <v>101</v>
      </c>
    </row>
    <row r="43" spans="2:25" x14ac:dyDescent="0.25">
      <c r="B43" s="1">
        <v>53</v>
      </c>
      <c r="C43" s="1" t="s">
        <v>126</v>
      </c>
      <c r="D43" s="2">
        <f>+SUM(RINGROSSI!C41:Q41)</f>
        <v>960</v>
      </c>
      <c r="E43" s="1" t="s">
        <v>106</v>
      </c>
    </row>
    <row r="44" spans="2:25" x14ac:dyDescent="0.25">
      <c r="B44" s="1">
        <v>54</v>
      </c>
      <c r="C44" s="1" t="s">
        <v>127</v>
      </c>
      <c r="D44" s="2">
        <f>24*0.28*AVERAGE(1.2,1.75)*5</f>
        <v>49.56</v>
      </c>
      <c r="E44" s="1" t="s">
        <v>101</v>
      </c>
      <c r="J44" s="5" t="s">
        <v>239</v>
      </c>
    </row>
    <row r="45" spans="2:25" x14ac:dyDescent="0.25">
      <c r="B45" s="1">
        <v>55</v>
      </c>
      <c r="C45" s="1" t="s">
        <v>128</v>
      </c>
      <c r="D45" s="2">
        <f>0.12*0.3*5.42*11*4+0.12*0.3*5.56*11*2</f>
        <v>12.988799999999998</v>
      </c>
      <c r="E45" s="1" t="s">
        <v>101</v>
      </c>
      <c r="J45" s="5" t="s">
        <v>233</v>
      </c>
      <c r="K45" s="1">
        <v>18</v>
      </c>
      <c r="L45" s="1">
        <v>44</v>
      </c>
      <c r="M45" s="1">
        <v>46</v>
      </c>
      <c r="N45" s="1">
        <v>12</v>
      </c>
      <c r="O45" s="1">
        <v>30</v>
      </c>
      <c r="P45" s="1">
        <v>31</v>
      </c>
      <c r="Q45" s="1">
        <v>38</v>
      </c>
      <c r="R45" s="1">
        <v>39</v>
      </c>
      <c r="S45" s="1">
        <v>40</v>
      </c>
      <c r="T45" s="1">
        <v>41</v>
      </c>
      <c r="U45" s="1">
        <v>42</v>
      </c>
      <c r="V45" s="1">
        <v>43</v>
      </c>
      <c r="W45" s="1">
        <v>36</v>
      </c>
      <c r="X45" s="1">
        <v>47</v>
      </c>
      <c r="Y45" s="1">
        <v>48</v>
      </c>
    </row>
    <row r="46" spans="2:25" x14ac:dyDescent="0.25">
      <c r="B46" s="1">
        <v>56</v>
      </c>
      <c r="C46" s="1" t="s">
        <v>243</v>
      </c>
      <c r="D46" s="2">
        <f>24*(0.28+AVERAGE(1.2,1.75))*2*5</f>
        <v>421.20000000000005</v>
      </c>
      <c r="E46" s="1" t="s">
        <v>99</v>
      </c>
      <c r="J46" s="1" t="s">
        <v>230</v>
      </c>
      <c r="K46" s="1">
        <v>5.59</v>
      </c>
      <c r="L46" s="1">
        <f>12.23-0.6</f>
        <v>11.63</v>
      </c>
      <c r="M46" s="1">
        <v>2.2799999999999998</v>
      </c>
      <c r="N46" s="1">
        <v>5.21</v>
      </c>
      <c r="O46" s="1">
        <v>4.3</v>
      </c>
      <c r="P46" s="1">
        <v>2.46</v>
      </c>
      <c r="Q46" s="1">
        <v>4.88</v>
      </c>
      <c r="R46" s="1">
        <v>2.86</v>
      </c>
      <c r="S46" s="1">
        <v>2.89</v>
      </c>
      <c r="T46" s="1">
        <v>4.8099999999999996</v>
      </c>
      <c r="U46" s="1">
        <v>4.3</v>
      </c>
      <c r="V46" s="1">
        <v>2.46</v>
      </c>
      <c r="W46" s="1">
        <f>(19.85-0.6)</f>
        <v>19.25</v>
      </c>
      <c r="X46" s="1">
        <v>3.31</v>
      </c>
      <c r="Y46" s="1">
        <v>2.29</v>
      </c>
    </row>
    <row r="47" spans="2:25" x14ac:dyDescent="0.25">
      <c r="B47" s="1">
        <v>56</v>
      </c>
      <c r="D47" s="2">
        <f>(0.12+0.3)*2*5.42*11*4</f>
        <v>200.32319999999999</v>
      </c>
      <c r="E47" s="1" t="s">
        <v>99</v>
      </c>
      <c r="J47" s="1" t="s">
        <v>49</v>
      </c>
      <c r="K47" s="1">
        <v>0.05</v>
      </c>
      <c r="L47" s="1">
        <v>0.2</v>
      </c>
      <c r="M47" s="1">
        <v>0.1</v>
      </c>
      <c r="N47" s="1">
        <v>0.05</v>
      </c>
      <c r="O47" s="1">
        <v>0.25</v>
      </c>
      <c r="P47" s="1">
        <v>0.25</v>
      </c>
      <c r="Q47" s="1">
        <v>0.25</v>
      </c>
      <c r="R47" s="1">
        <v>0.25</v>
      </c>
      <c r="S47" s="1">
        <v>0.25</v>
      </c>
      <c r="T47" s="1">
        <v>0.25</v>
      </c>
      <c r="U47" s="1">
        <v>0.25</v>
      </c>
      <c r="V47" s="1">
        <v>0.25</v>
      </c>
      <c r="W47" s="1">
        <v>0.1</v>
      </c>
      <c r="X47" s="1">
        <v>0.05</v>
      </c>
      <c r="Y47" s="1">
        <v>0.1</v>
      </c>
    </row>
    <row r="48" spans="2:25" x14ac:dyDescent="0.25">
      <c r="B48" s="1">
        <v>56</v>
      </c>
      <c r="D48" s="2">
        <f>(0.12+0.3)*2*5.56*11*2</f>
        <v>102.7488</v>
      </c>
      <c r="E48" s="1" t="s">
        <v>99</v>
      </c>
      <c r="J48" s="1" t="s">
        <v>231</v>
      </c>
      <c r="K48" s="1">
        <v>2</v>
      </c>
      <c r="L48" s="1">
        <v>2</v>
      </c>
      <c r="M48" s="1">
        <v>2</v>
      </c>
      <c r="N48" s="1">
        <v>2</v>
      </c>
      <c r="O48" s="1">
        <v>2</v>
      </c>
      <c r="P48" s="1">
        <v>2</v>
      </c>
      <c r="Q48" s="1">
        <v>2</v>
      </c>
      <c r="R48" s="1">
        <v>2</v>
      </c>
      <c r="S48" s="1">
        <v>2</v>
      </c>
      <c r="T48" s="1">
        <v>2</v>
      </c>
      <c r="U48" s="1">
        <v>2</v>
      </c>
      <c r="V48" s="1">
        <v>2</v>
      </c>
      <c r="W48" s="1">
        <v>2</v>
      </c>
      <c r="X48" s="1">
        <v>2</v>
      </c>
      <c r="Y48" s="1">
        <v>2</v>
      </c>
    </row>
    <row r="49" spans="2:25" x14ac:dyDescent="0.25">
      <c r="B49" s="1">
        <v>57</v>
      </c>
      <c r="C49" s="1" t="s">
        <v>129</v>
      </c>
      <c r="D49" s="2">
        <f>3.05*(5.92+8.1+5.59)</f>
        <v>59.810499999999998</v>
      </c>
      <c r="E49" s="1" t="s">
        <v>99</v>
      </c>
      <c r="F49" s="1" t="s">
        <v>103</v>
      </c>
      <c r="J49" s="1" t="s">
        <v>234</v>
      </c>
      <c r="K49" s="4">
        <f>K46/K47*K48</f>
        <v>223.6</v>
      </c>
      <c r="L49" s="4">
        <f>L46/L47*L48</f>
        <v>116.3</v>
      </c>
      <c r="M49" s="4">
        <f>M46/M47*M48</f>
        <v>45.599999999999994</v>
      </c>
      <c r="N49" s="4">
        <f>N46/N47*N48</f>
        <v>208.39999999999998</v>
      </c>
      <c r="O49" s="4">
        <f>O46/O47*O48</f>
        <v>34.4</v>
      </c>
      <c r="P49" s="4">
        <f t="shared" ref="P49" si="2">P46/P47*P48</f>
        <v>19.68</v>
      </c>
      <c r="Q49" s="4">
        <f t="shared" ref="Q49" si="3">Q46/Q47*Q48</f>
        <v>39.04</v>
      </c>
      <c r="R49" s="4">
        <f t="shared" ref="R49" si="4">R46/R47*R48</f>
        <v>22.88</v>
      </c>
      <c r="S49" s="4">
        <f t="shared" ref="S49" si="5">S46/S47*S48</f>
        <v>23.12</v>
      </c>
      <c r="T49" s="4">
        <f t="shared" ref="T49" si="6">T46/T47*T48</f>
        <v>38.479999999999997</v>
      </c>
      <c r="U49" s="4">
        <f t="shared" ref="U49" si="7">U46/U47*U48</f>
        <v>34.4</v>
      </c>
      <c r="V49" s="4">
        <f t="shared" ref="V49" si="8">V46/V47*V48</f>
        <v>19.68</v>
      </c>
      <c r="W49" s="4">
        <f t="shared" ref="W49" si="9">W46/W47*W48</f>
        <v>385</v>
      </c>
      <c r="X49" s="4">
        <f t="shared" ref="X49" si="10">X46/X47*X48</f>
        <v>132.4</v>
      </c>
      <c r="Y49" s="4">
        <f t="shared" ref="Y49" si="11">Y46/Y47*Y48</f>
        <v>45.8</v>
      </c>
    </row>
    <row r="50" spans="2:25" x14ac:dyDescent="0.25">
      <c r="B50" s="1">
        <v>57</v>
      </c>
      <c r="C50" s="1" t="s">
        <v>129</v>
      </c>
      <c r="D50" s="2">
        <f>3.05*20.1</f>
        <v>61.305</v>
      </c>
      <c r="E50" s="1" t="s">
        <v>99</v>
      </c>
      <c r="F50" s="1" t="s">
        <v>100</v>
      </c>
    </row>
    <row r="51" spans="2:25" x14ac:dyDescent="0.25">
      <c r="B51" s="1">
        <v>57</v>
      </c>
      <c r="C51" s="1" t="s">
        <v>129</v>
      </c>
      <c r="D51" s="2">
        <f>3.05*12.53+4.02</f>
        <v>42.236499999999992</v>
      </c>
      <c r="E51" s="1" t="s">
        <v>99</v>
      </c>
      <c r="F51" s="1" t="s">
        <v>104</v>
      </c>
      <c r="J51" s="5"/>
    </row>
    <row r="52" spans="2:25" x14ac:dyDescent="0.25">
      <c r="B52" s="1">
        <v>57</v>
      </c>
      <c r="C52" s="1" t="s">
        <v>129</v>
      </c>
      <c r="D52" s="2">
        <f>1*1.95</f>
        <v>1.95</v>
      </c>
      <c r="E52" s="1" t="s">
        <v>99</v>
      </c>
      <c r="F52" s="1" t="s">
        <v>104</v>
      </c>
    </row>
    <row r="53" spans="2:25" x14ac:dyDescent="0.25">
      <c r="B53" s="1">
        <v>58</v>
      </c>
      <c r="C53" s="1" t="s">
        <v>244</v>
      </c>
      <c r="D53" s="2">
        <f>(3.5+4.5)*5</f>
        <v>40</v>
      </c>
      <c r="E53" s="1" t="s">
        <v>99</v>
      </c>
    </row>
    <row r="54" spans="2:25" x14ac:dyDescent="0.25">
      <c r="B54" s="1">
        <v>59</v>
      </c>
      <c r="C54" s="1" t="s">
        <v>245</v>
      </c>
      <c r="D54" s="2">
        <f>(6+4+2+2)*0.25*0.25*3.05</f>
        <v>2.6687499999999997</v>
      </c>
      <c r="E54" s="1" t="s">
        <v>101</v>
      </c>
    </row>
    <row r="55" spans="2:25" x14ac:dyDescent="0.25">
      <c r="B55" s="1">
        <v>60</v>
      </c>
      <c r="C55" s="1" t="s">
        <v>130</v>
      </c>
      <c r="D55" s="2">
        <f>64*16.7*1.36</f>
        <v>1453.568</v>
      </c>
      <c r="E55" s="1" t="s">
        <v>8</v>
      </c>
    </row>
    <row r="56" spans="2:25" x14ac:dyDescent="0.25">
      <c r="B56" s="1">
        <v>60</v>
      </c>
      <c r="C56" s="1" t="s">
        <v>137</v>
      </c>
      <c r="D56" s="2">
        <f>(0.8*0.4*5/1000*2+0.3*0.3*0.02+0.38*0.3*0.02*2)*5*2*7850</f>
        <v>750.46</v>
      </c>
      <c r="E56" s="1" t="s">
        <v>8</v>
      </c>
    </row>
    <row r="57" spans="2:25" x14ac:dyDescent="0.25">
      <c r="B57" s="1">
        <v>60</v>
      </c>
      <c r="C57" s="1" t="s">
        <v>136</v>
      </c>
      <c r="D57" s="2">
        <f>64*0.2*0.2*0.02*7850</f>
        <v>401.92000000000007</v>
      </c>
      <c r="E57" s="1" t="s">
        <v>8</v>
      </c>
      <c r="W57" s="4"/>
      <c r="X57" s="4"/>
    </row>
    <row r="58" spans="2:25" x14ac:dyDescent="0.25">
      <c r="B58" s="1">
        <v>60</v>
      </c>
      <c r="C58" s="1" t="s">
        <v>131</v>
      </c>
      <c r="D58" s="2">
        <f>5.42*5.3*6*2</f>
        <v>344.71199999999999</v>
      </c>
      <c r="E58" s="1" t="s">
        <v>8</v>
      </c>
    </row>
    <row r="59" spans="2:25" x14ac:dyDescent="0.25">
      <c r="B59" s="1">
        <v>60</v>
      </c>
      <c r="C59" s="1" t="s">
        <v>132</v>
      </c>
      <c r="D59" s="2">
        <f>55/1000*8/1000*5.3*4*6*2*7850</f>
        <v>878.69759999999997</v>
      </c>
      <c r="E59" s="1" t="s">
        <v>8</v>
      </c>
    </row>
    <row r="60" spans="2:25" x14ac:dyDescent="0.25">
      <c r="B60" s="1">
        <v>60</v>
      </c>
      <c r="C60" s="1" t="s">
        <v>133</v>
      </c>
      <c r="D60" s="2">
        <f>((0.38*0.02*0.19*3)*5*2+64*4*0.004235*0.01)*7850</f>
        <v>425.16855999999996</v>
      </c>
      <c r="E60" s="1" t="s">
        <v>8</v>
      </c>
    </row>
    <row r="61" spans="2:25" x14ac:dyDescent="0.25">
      <c r="B61" s="1">
        <v>61</v>
      </c>
      <c r="C61" s="1" t="s">
        <v>134</v>
      </c>
      <c r="D61" s="2">
        <f>+D55</f>
        <v>1453.568</v>
      </c>
      <c r="E61" s="1" t="s">
        <v>8</v>
      </c>
    </row>
    <row r="62" spans="2:25" x14ac:dyDescent="0.25">
      <c r="B62" s="1">
        <v>62</v>
      </c>
      <c r="C62" s="1" t="s">
        <v>135</v>
      </c>
      <c r="D62" s="2">
        <f>64*1.36*0.56</f>
        <v>48.742400000000011</v>
      </c>
      <c r="E62" s="1" t="s">
        <v>99</v>
      </c>
    </row>
    <row r="64" spans="2:25" x14ac:dyDescent="0.25">
      <c r="B64" s="1">
        <v>63</v>
      </c>
      <c r="C64" s="1" t="s">
        <v>138</v>
      </c>
      <c r="D64" s="2">
        <f>24.66*34.79</f>
        <v>857.92139999999995</v>
      </c>
      <c r="E64" s="1" t="s">
        <v>99</v>
      </c>
    </row>
    <row r="65" spans="2:13" x14ac:dyDescent="0.25">
      <c r="B65" s="1">
        <v>64</v>
      </c>
      <c r="C65" s="1" t="s">
        <v>140</v>
      </c>
      <c r="D65" s="2">
        <f>+SUM(NUOVI!C58:E58)+NUOVI!C78</f>
        <v>59.167999999999999</v>
      </c>
      <c r="E65" s="1" t="s">
        <v>101</v>
      </c>
    </row>
    <row r="66" spans="2:13" x14ac:dyDescent="0.25">
      <c r="B66" s="1">
        <v>64</v>
      </c>
      <c r="C66" s="1" t="s">
        <v>139</v>
      </c>
      <c r="D66" s="2">
        <f>+NUOVI!C40</f>
        <v>24.93</v>
      </c>
      <c r="E66" s="1" t="s">
        <v>101</v>
      </c>
    </row>
    <row r="67" spans="2:13" x14ac:dyDescent="0.25">
      <c r="B67" s="1">
        <v>64</v>
      </c>
      <c r="C67" s="1" t="s">
        <v>141</v>
      </c>
      <c r="D67" s="2">
        <f>+NUOVI!C89</f>
        <v>1.0920000000000001</v>
      </c>
      <c r="E67" s="1" t="s">
        <v>101</v>
      </c>
    </row>
    <row r="68" spans="2:13" x14ac:dyDescent="0.25">
      <c r="B68" s="1">
        <v>64</v>
      </c>
      <c r="C68" s="1" t="s">
        <v>142</v>
      </c>
      <c r="D68" s="2">
        <f>+NUOVI!C96</f>
        <v>2.9805799999999998</v>
      </c>
      <c r="E68" s="1" t="s">
        <v>101</v>
      </c>
    </row>
    <row r="69" spans="2:13" x14ac:dyDescent="0.25">
      <c r="B69" s="1">
        <v>64</v>
      </c>
      <c r="C69" s="1" t="s">
        <v>143</v>
      </c>
      <c r="D69" s="2">
        <f>+NUOVI!C164</f>
        <v>4.9164400000000006</v>
      </c>
      <c r="E69" s="1" t="s">
        <v>101</v>
      </c>
      <c r="K69" s="3"/>
    </row>
    <row r="70" spans="2:13" x14ac:dyDescent="0.25">
      <c r="B70" s="1">
        <v>65</v>
      </c>
      <c r="C70" s="1" t="s">
        <v>151</v>
      </c>
      <c r="D70" s="2">
        <f>+SUM(NUOVI!C57:E57)</f>
        <v>9.8265000000000011</v>
      </c>
      <c r="E70" s="1" t="s">
        <v>101</v>
      </c>
    </row>
    <row r="71" spans="2:13" x14ac:dyDescent="0.25">
      <c r="B71" s="1">
        <v>65</v>
      </c>
      <c r="C71" s="1" t="s">
        <v>152</v>
      </c>
      <c r="D71" s="2">
        <f>8.53*0.15*2</f>
        <v>2.5589999999999997</v>
      </c>
      <c r="E71" s="1" t="s">
        <v>101</v>
      </c>
    </row>
    <row r="72" spans="2:13" x14ac:dyDescent="0.25">
      <c r="B72" s="1">
        <v>65</v>
      </c>
      <c r="C72" s="1" t="s">
        <v>145</v>
      </c>
      <c r="D72" s="2">
        <f>+NUOVI!C106</f>
        <v>4.7370000000000001</v>
      </c>
      <c r="E72" s="1" t="s">
        <v>101</v>
      </c>
    </row>
    <row r="73" spans="2:13" x14ac:dyDescent="0.25">
      <c r="B73" s="1">
        <v>65</v>
      </c>
      <c r="C73" s="1" t="s">
        <v>146</v>
      </c>
      <c r="D73" s="2">
        <f>+NUOVI!C73</f>
        <v>4.63</v>
      </c>
      <c r="E73" s="1" t="s">
        <v>101</v>
      </c>
      <c r="L73" s="4"/>
    </row>
    <row r="74" spans="2:13" x14ac:dyDescent="0.25">
      <c r="B74" s="1">
        <v>65</v>
      </c>
      <c r="C74" s="1" t="s">
        <v>147</v>
      </c>
      <c r="D74" s="2">
        <f>+NUOVI!C126</f>
        <v>8.1731999999999996</v>
      </c>
      <c r="E74" s="1" t="s">
        <v>101</v>
      </c>
      <c r="L74" s="4"/>
      <c r="M74" s="3"/>
    </row>
    <row r="75" spans="2:13" x14ac:dyDescent="0.25">
      <c r="B75" s="1">
        <v>65</v>
      </c>
      <c r="C75" s="1" t="s">
        <v>148</v>
      </c>
      <c r="D75" s="2">
        <f>+NUOVI!D73</f>
        <v>6.04</v>
      </c>
      <c r="E75" s="1" t="s">
        <v>101</v>
      </c>
    </row>
    <row r="76" spans="2:13" x14ac:dyDescent="0.25">
      <c r="B76" s="1">
        <v>65</v>
      </c>
      <c r="C76" s="1" t="s">
        <v>149</v>
      </c>
      <c r="D76" s="2">
        <f>+NUOVI!C154</f>
        <v>2.6526149999999999</v>
      </c>
      <c r="E76" s="1" t="s">
        <v>101</v>
      </c>
    </row>
    <row r="77" spans="2:13" x14ac:dyDescent="0.25">
      <c r="B77" s="1">
        <v>65</v>
      </c>
      <c r="C77" s="1" t="s">
        <v>150</v>
      </c>
      <c r="D77" s="2">
        <f>+NUOVI!E73</f>
        <v>3.69</v>
      </c>
      <c r="E77" s="1" t="s">
        <v>101</v>
      </c>
    </row>
    <row r="78" spans="2:13" x14ac:dyDescent="0.25">
      <c r="B78" s="1">
        <v>66</v>
      </c>
      <c r="C78" s="1" t="s">
        <v>202</v>
      </c>
      <c r="D78" s="2">
        <f>+SUM(NUOVI!C56:E56)</f>
        <v>534.82363999999995</v>
      </c>
      <c r="E78" s="1" t="s">
        <v>8</v>
      </c>
      <c r="F78" s="1" t="s">
        <v>102</v>
      </c>
    </row>
    <row r="79" spans="2:13" x14ac:dyDescent="0.25">
      <c r="B79" s="1">
        <v>66</v>
      </c>
      <c r="C79" s="1" t="s">
        <v>161</v>
      </c>
      <c r="D79" s="2">
        <f>+NUOVI!C48+NUOVI!D48</f>
        <v>134.774</v>
      </c>
      <c r="E79" s="1" t="s">
        <v>8</v>
      </c>
    </row>
    <row r="80" spans="2:13" x14ac:dyDescent="0.25">
      <c r="B80" s="1">
        <v>66</v>
      </c>
      <c r="C80" s="1" t="s">
        <v>154</v>
      </c>
      <c r="D80" s="2">
        <f>+NUOVI!C104</f>
        <v>374.22300000000001</v>
      </c>
      <c r="E80" s="1" t="s">
        <v>8</v>
      </c>
      <c r="F80" s="1" t="s">
        <v>103</v>
      </c>
    </row>
    <row r="81" spans="2:12" x14ac:dyDescent="0.25">
      <c r="B81" s="1">
        <v>66</v>
      </c>
      <c r="C81" s="1" t="s">
        <v>155</v>
      </c>
      <c r="D81" s="2">
        <f>+NUOVI!C124+NUOVI!C135</f>
        <v>619.40345000000013</v>
      </c>
      <c r="E81" s="1" t="s">
        <v>8</v>
      </c>
      <c r="F81" s="1" t="s">
        <v>210</v>
      </c>
    </row>
    <row r="82" spans="2:12" x14ac:dyDescent="0.25">
      <c r="B82" s="1">
        <v>66</v>
      </c>
      <c r="C82" s="1" t="s">
        <v>156</v>
      </c>
      <c r="D82" s="2">
        <f>+NUOVI!C152</f>
        <v>209.55658499999998</v>
      </c>
      <c r="E82" s="1" t="s">
        <v>8</v>
      </c>
      <c r="F82" s="1" t="s">
        <v>104</v>
      </c>
      <c r="J82" s="2"/>
      <c r="L82" s="4"/>
    </row>
    <row r="83" spans="2:12" x14ac:dyDescent="0.25">
      <c r="B83" s="1">
        <v>66</v>
      </c>
      <c r="C83" s="1" t="s">
        <v>157</v>
      </c>
      <c r="D83" s="2">
        <f>+NUOVI!C87</f>
        <v>86.268000000000001</v>
      </c>
      <c r="E83" s="1" t="s">
        <v>8</v>
      </c>
      <c r="J83" s="2"/>
    </row>
    <row r="84" spans="2:12" x14ac:dyDescent="0.25">
      <c r="B84" s="1">
        <v>66</v>
      </c>
      <c r="C84" s="1" t="s">
        <v>158</v>
      </c>
      <c r="D84" s="2">
        <f>+NUOVI!C114</f>
        <v>574.2115</v>
      </c>
      <c r="E84" s="1" t="s">
        <v>8</v>
      </c>
    </row>
    <row r="85" spans="2:12" x14ac:dyDescent="0.25">
      <c r="B85" s="1">
        <v>66</v>
      </c>
      <c r="C85" s="1" t="s">
        <v>159</v>
      </c>
      <c r="D85" s="2">
        <f>+NUOVI!C142</f>
        <v>206.00513999999998</v>
      </c>
      <c r="E85" s="1" t="s">
        <v>8</v>
      </c>
    </row>
    <row r="86" spans="2:12" x14ac:dyDescent="0.25">
      <c r="B86" s="1">
        <v>67</v>
      </c>
      <c r="C86" s="1" t="s">
        <v>153</v>
      </c>
      <c r="D86" s="2">
        <f>NUOVI!C77</f>
        <v>5383.5340000000006</v>
      </c>
      <c r="E86" s="1" t="s">
        <v>8</v>
      </c>
    </row>
    <row r="87" spans="2:12" x14ac:dyDescent="0.25">
      <c r="B87" s="1">
        <v>68</v>
      </c>
      <c r="C87" s="1" t="s">
        <v>246</v>
      </c>
      <c r="D87" s="2">
        <f>NUOVI!C72</f>
        <v>481.5</v>
      </c>
      <c r="E87" s="1" t="s">
        <v>8</v>
      </c>
    </row>
    <row r="88" spans="2:12" x14ac:dyDescent="0.25">
      <c r="B88" s="1">
        <v>68</v>
      </c>
      <c r="C88" s="1" t="s">
        <v>247</v>
      </c>
      <c r="D88" s="2">
        <f>NUOVI!D72</f>
        <v>642.5</v>
      </c>
      <c r="E88" s="1" t="s">
        <v>8</v>
      </c>
    </row>
    <row r="89" spans="2:12" x14ac:dyDescent="0.25">
      <c r="B89" s="1">
        <v>68</v>
      </c>
      <c r="C89" s="1" t="s">
        <v>248</v>
      </c>
      <c r="D89" s="2">
        <f>NUOVI!E72</f>
        <v>390.5</v>
      </c>
      <c r="E89" s="1" t="s">
        <v>8</v>
      </c>
    </row>
    <row r="90" spans="2:12" x14ac:dyDescent="0.25">
      <c r="B90" s="1">
        <v>69</v>
      </c>
      <c r="C90" s="1" t="s">
        <v>203</v>
      </c>
      <c r="D90" s="2">
        <f>(4.3+2.46+4.88+2.86+2.89+4.81+4.3+2.46)/0.25*(4*1.45*0.888+(0.52+0.36+0.52)*0.395)</f>
        <v>660.68185600000004</v>
      </c>
      <c r="E90" s="1" t="s">
        <v>8</v>
      </c>
      <c r="F90" s="1" t="s">
        <v>102</v>
      </c>
    </row>
    <row r="91" spans="2:12" x14ac:dyDescent="0.25">
      <c r="B91" s="1">
        <v>69</v>
      </c>
      <c r="C91" s="1" t="s">
        <v>162</v>
      </c>
      <c r="D91" s="2">
        <f>+SUM(NUOVI!C55:E55)</f>
        <v>506.03181400000005</v>
      </c>
      <c r="E91" s="1" t="s">
        <v>8</v>
      </c>
    </row>
    <row r="92" spans="2:12" x14ac:dyDescent="0.25">
      <c r="B92" s="1">
        <v>69</v>
      </c>
      <c r="C92" s="1" t="s">
        <v>205</v>
      </c>
      <c r="D92" s="2">
        <f>+NUOVI!C163</f>
        <v>241.43308500000003</v>
      </c>
      <c r="E92" s="1" t="s">
        <v>8</v>
      </c>
    </row>
    <row r="93" spans="2:12" x14ac:dyDescent="0.25">
      <c r="B93" s="1">
        <v>69</v>
      </c>
      <c r="C93" s="1" t="s">
        <v>166</v>
      </c>
      <c r="D93" s="2">
        <f>2.58*(2+2)*1.2/0.6*0.395</f>
        <v>8.1528000000000009</v>
      </c>
      <c r="E93" s="1" t="s">
        <v>8</v>
      </c>
      <c r="F93" s="1" t="s">
        <v>103</v>
      </c>
    </row>
    <row r="94" spans="2:12" x14ac:dyDescent="0.25">
      <c r="B94" s="1">
        <v>69</v>
      </c>
      <c r="C94" s="1" t="s">
        <v>204</v>
      </c>
      <c r="D94" s="2">
        <f>+NUOVI!C8</f>
        <v>61.965625000000003</v>
      </c>
      <c r="E94" s="1" t="s">
        <v>8</v>
      </c>
    </row>
    <row r="95" spans="2:12" x14ac:dyDescent="0.25">
      <c r="B95" s="1">
        <v>69</v>
      </c>
      <c r="C95" s="1" t="s">
        <v>163</v>
      </c>
      <c r="D95" s="2">
        <f>+NUOVI!C105</f>
        <v>82.85405333333334</v>
      </c>
      <c r="E95" s="1" t="s">
        <v>8</v>
      </c>
    </row>
    <row r="96" spans="2:12" x14ac:dyDescent="0.25">
      <c r="B96" s="1">
        <v>69</v>
      </c>
      <c r="C96" s="1" t="s">
        <v>165</v>
      </c>
      <c r="D96" s="2">
        <f>+SUM(NUOVI!C116)</f>
        <v>1043.024672</v>
      </c>
      <c r="E96" s="1" t="s">
        <v>8</v>
      </c>
      <c r="F96" s="1" t="s">
        <v>100</v>
      </c>
    </row>
    <row r="97" spans="2:6" x14ac:dyDescent="0.25">
      <c r="B97" s="1">
        <v>69</v>
      </c>
      <c r="C97" s="1" t="s">
        <v>164</v>
      </c>
      <c r="D97" s="2">
        <f>+NUOVI!C115</f>
        <v>395.86373333333336</v>
      </c>
      <c r="E97" s="1" t="s">
        <v>8</v>
      </c>
    </row>
    <row r="98" spans="2:6" x14ac:dyDescent="0.25">
      <c r="B98" s="1">
        <v>69</v>
      </c>
      <c r="C98" s="1" t="s">
        <v>166</v>
      </c>
      <c r="D98" s="2">
        <f>+NUOVI!C136</f>
        <v>61.371940000000009</v>
      </c>
      <c r="E98" s="1" t="s">
        <v>8</v>
      </c>
    </row>
    <row r="99" spans="2:6" x14ac:dyDescent="0.25">
      <c r="B99" s="1">
        <v>69</v>
      </c>
      <c r="C99" s="1" t="s">
        <v>167</v>
      </c>
      <c r="D99" s="2">
        <f>+NUOVI!C137</f>
        <v>64.859000000000009</v>
      </c>
      <c r="E99" s="1" t="s">
        <v>8</v>
      </c>
    </row>
    <row r="100" spans="2:6" x14ac:dyDescent="0.25">
      <c r="B100" s="1">
        <v>69</v>
      </c>
      <c r="C100" s="1" t="s">
        <v>201</v>
      </c>
      <c r="D100" s="2">
        <f>+NUOVI!C117</f>
        <v>513.63613090909098</v>
      </c>
      <c r="E100" s="1" t="s">
        <v>8</v>
      </c>
    </row>
    <row r="101" spans="2:6" x14ac:dyDescent="0.25">
      <c r="B101" s="1">
        <v>69</v>
      </c>
      <c r="C101" s="1" t="s">
        <v>204</v>
      </c>
      <c r="D101" s="2">
        <f>+NUOVI!D8</f>
        <v>72.719499999999996</v>
      </c>
      <c r="E101" s="1" t="s">
        <v>8</v>
      </c>
    </row>
    <row r="102" spans="2:6" x14ac:dyDescent="0.25">
      <c r="B102" s="1">
        <v>69</v>
      </c>
      <c r="C102" s="1" t="s">
        <v>163</v>
      </c>
      <c r="D102" s="2">
        <f>+NUOVI!C125</f>
        <v>709.95482400000014</v>
      </c>
      <c r="E102" s="1" t="s">
        <v>8</v>
      </c>
    </row>
    <row r="103" spans="2:6" x14ac:dyDescent="0.25">
      <c r="B103" s="1">
        <v>69</v>
      </c>
      <c r="C103" s="1" t="s">
        <v>165</v>
      </c>
      <c r="D103" s="2">
        <f>NUOVI!C144</f>
        <v>498.58934400000004</v>
      </c>
      <c r="E103" s="1" t="s">
        <v>8</v>
      </c>
      <c r="F103" s="1" t="s">
        <v>104</v>
      </c>
    </row>
    <row r="104" spans="2:6" x14ac:dyDescent="0.25">
      <c r="B104" s="1">
        <v>69</v>
      </c>
      <c r="C104" s="1" t="s">
        <v>164</v>
      </c>
      <c r="D104" s="2">
        <f>+NUOVI!C143</f>
        <v>139.70438999999999</v>
      </c>
      <c r="E104" s="1" t="s">
        <v>8</v>
      </c>
    </row>
    <row r="105" spans="2:6" x14ac:dyDescent="0.25">
      <c r="B105" s="1">
        <v>69</v>
      </c>
      <c r="C105" s="1" t="s">
        <v>168</v>
      </c>
      <c r="D105" s="2">
        <f>NUOVI!C145</f>
        <v>149.46816000000001</v>
      </c>
      <c r="E105" s="1" t="s">
        <v>8</v>
      </c>
    </row>
    <row r="106" spans="2:6" x14ac:dyDescent="0.25">
      <c r="B106" s="1">
        <v>69</v>
      </c>
      <c r="C106" s="1" t="s">
        <v>204</v>
      </c>
      <c r="D106" s="2">
        <f>+NUOVI!E8</f>
        <v>32.567750000000004</v>
      </c>
      <c r="E106" s="1" t="s">
        <v>8</v>
      </c>
    </row>
    <row r="107" spans="2:6" x14ac:dyDescent="0.25">
      <c r="B107" s="1">
        <v>69</v>
      </c>
      <c r="C107" s="1" t="s">
        <v>163</v>
      </c>
      <c r="D107" s="2">
        <f>+NUOVI!C153</f>
        <v>142.37504999999999</v>
      </c>
      <c r="E107" s="1" t="s">
        <v>8</v>
      </c>
    </row>
    <row r="108" spans="2:6" x14ac:dyDescent="0.25">
      <c r="B108" s="1">
        <v>69</v>
      </c>
      <c r="C108" s="1" t="s">
        <v>204</v>
      </c>
      <c r="D108" s="2">
        <f>+NUOVI!E8</f>
        <v>32.567750000000004</v>
      </c>
      <c r="E108" s="1" t="s">
        <v>8</v>
      </c>
    </row>
    <row r="109" spans="2:6" x14ac:dyDescent="0.25">
      <c r="B109" s="1">
        <v>70</v>
      </c>
      <c r="C109" s="1" t="s">
        <v>170</v>
      </c>
      <c r="D109" s="2">
        <f>+NUOVI!C81</f>
        <v>385</v>
      </c>
      <c r="E109" s="1" t="s">
        <v>106</v>
      </c>
    </row>
    <row r="110" spans="2:6" x14ac:dyDescent="0.25">
      <c r="B110" s="1">
        <v>71</v>
      </c>
      <c r="C110" s="1" t="s">
        <v>171</v>
      </c>
      <c r="D110" s="2">
        <f>ROUND(+NUOVI!C80,0)</f>
        <v>182</v>
      </c>
      <c r="E110" s="1" t="s">
        <v>106</v>
      </c>
    </row>
    <row r="111" spans="2:6" x14ac:dyDescent="0.25">
      <c r="B111" s="1">
        <v>72</v>
      </c>
      <c r="C111" s="1" t="s">
        <v>172</v>
      </c>
      <c r="D111" s="2">
        <f>5*64</f>
        <v>320</v>
      </c>
      <c r="E111" s="1" t="s">
        <v>106</v>
      </c>
    </row>
    <row r="112" spans="2:6" x14ac:dyDescent="0.25">
      <c r="B112" s="1">
        <v>73</v>
      </c>
      <c r="C112" s="1" t="s">
        <v>173</v>
      </c>
      <c r="D112" s="2">
        <f>ROUND(+NUOVI!C88,0)</f>
        <v>127</v>
      </c>
      <c r="E112" s="1" t="s">
        <v>106</v>
      </c>
    </row>
    <row r="113" spans="2:6" x14ac:dyDescent="0.25">
      <c r="B113" s="1">
        <v>73</v>
      </c>
      <c r="C113" s="1" t="s">
        <v>174</v>
      </c>
      <c r="D113" s="2">
        <f>ROUND(+SUM(NUOVI!C54:E54),0)</f>
        <v>380</v>
      </c>
      <c r="E113" s="1" t="s">
        <v>106</v>
      </c>
    </row>
    <row r="114" spans="2:6" x14ac:dyDescent="0.25">
      <c r="B114" s="1">
        <v>73</v>
      </c>
      <c r="C114" s="1" t="s">
        <v>175</v>
      </c>
      <c r="D114" s="2">
        <f>ROUND(+NUOVI!C108,0)</f>
        <v>512</v>
      </c>
      <c r="E114" s="1" t="s">
        <v>106</v>
      </c>
      <c r="F114" s="1" t="s">
        <v>103</v>
      </c>
    </row>
    <row r="115" spans="2:6" x14ac:dyDescent="0.25">
      <c r="B115" s="1">
        <v>73</v>
      </c>
      <c r="C115" s="1" t="s">
        <v>176</v>
      </c>
      <c r="D115" s="2">
        <f>ROUND(+NUOVI!C128,0)</f>
        <v>1031</v>
      </c>
      <c r="E115" s="1" t="s">
        <v>106</v>
      </c>
    </row>
    <row r="116" spans="2:6" x14ac:dyDescent="0.25">
      <c r="B116" s="1">
        <v>73</v>
      </c>
      <c r="C116" s="1" t="s">
        <v>177</v>
      </c>
      <c r="D116" s="2">
        <f>ROUND(+NUOVI!C156,0)</f>
        <v>451</v>
      </c>
      <c r="E116" s="1" t="s">
        <v>106</v>
      </c>
    </row>
    <row r="117" spans="2:6" x14ac:dyDescent="0.25">
      <c r="B117" s="1">
        <v>74</v>
      </c>
      <c r="C117" s="1" t="s">
        <v>181</v>
      </c>
      <c r="D117" s="2">
        <f>1.05*(36.91+6.25+3.33+5.86+6.34+18.1+26.78)</f>
        <v>108.74849999999999</v>
      </c>
      <c r="E117" s="1" t="s">
        <v>99</v>
      </c>
    </row>
    <row r="118" spans="2:6" x14ac:dyDescent="0.25">
      <c r="B118" s="1">
        <v>75</v>
      </c>
      <c r="C118" s="1" t="s">
        <v>206</v>
      </c>
      <c r="D118" s="2">
        <f>(12.21+88.04+3.33)*0.1</f>
        <v>10.358000000000001</v>
      </c>
      <c r="E118" s="1" t="s">
        <v>99</v>
      </c>
      <c r="F118" s="1" t="s">
        <v>182</v>
      </c>
    </row>
    <row r="119" spans="2:6" x14ac:dyDescent="0.25">
      <c r="B119" s="1">
        <v>75</v>
      </c>
      <c r="C119" s="1" t="s">
        <v>144</v>
      </c>
      <c r="D119" s="2">
        <f>+SUM(NUOVI!C59:E59)</f>
        <v>73.510000000000005</v>
      </c>
      <c r="E119" s="1" t="s">
        <v>99</v>
      </c>
    </row>
    <row r="120" spans="2:6" x14ac:dyDescent="0.25">
      <c r="B120" s="1">
        <v>75</v>
      </c>
      <c r="C120" s="1" t="s">
        <v>161</v>
      </c>
      <c r="D120" s="2">
        <f>+SUM(NUOVI!C50:D50)</f>
        <v>23.56</v>
      </c>
      <c r="E120" s="1" t="s">
        <v>99</v>
      </c>
    </row>
    <row r="121" spans="2:6" x14ac:dyDescent="0.25">
      <c r="B121" s="1">
        <v>75</v>
      </c>
      <c r="C121" s="1" t="s">
        <v>105</v>
      </c>
      <c r="D121" s="2">
        <f>+NUOVI!C165</f>
        <v>1.62</v>
      </c>
      <c r="E121" s="1" t="s">
        <v>99</v>
      </c>
    </row>
    <row r="122" spans="2:6" x14ac:dyDescent="0.25">
      <c r="B122" s="1">
        <v>75</v>
      </c>
      <c r="C122" s="1" t="s">
        <v>183</v>
      </c>
      <c r="D122" s="2">
        <f>+NUOVI!C74</f>
        <v>38.46</v>
      </c>
      <c r="E122" s="1" t="s">
        <v>99</v>
      </c>
    </row>
    <row r="123" spans="2:6" x14ac:dyDescent="0.25">
      <c r="B123" s="1">
        <v>75</v>
      </c>
      <c r="C123" s="1" t="s">
        <v>184</v>
      </c>
      <c r="D123" s="2">
        <f>+NUOVI!D74</f>
        <v>50.27</v>
      </c>
      <c r="E123" s="1" t="s">
        <v>99</v>
      </c>
    </row>
    <row r="124" spans="2:6" x14ac:dyDescent="0.25">
      <c r="B124" s="1">
        <v>75</v>
      </c>
      <c r="C124" s="1" t="s">
        <v>185</v>
      </c>
      <c r="D124" s="2">
        <f>+NUOVI!E74</f>
        <v>30.8</v>
      </c>
      <c r="E124" s="1" t="s">
        <v>99</v>
      </c>
    </row>
    <row r="125" spans="2:6" x14ac:dyDescent="0.25">
      <c r="B125" s="1">
        <v>76</v>
      </c>
      <c r="C125" s="1" t="s">
        <v>187</v>
      </c>
      <c r="D125" s="2">
        <f>+NUOVI!C45+NUOVI!C167</f>
        <v>625.64440000000002</v>
      </c>
      <c r="E125" s="1" t="s">
        <v>99</v>
      </c>
    </row>
    <row r="126" spans="2:6" x14ac:dyDescent="0.25">
      <c r="B126" s="1">
        <v>76</v>
      </c>
      <c r="C126" s="1" t="s">
        <v>188</v>
      </c>
      <c r="D126" s="2">
        <f>+NUOVI!C101</f>
        <v>74.514499999999998</v>
      </c>
      <c r="E126" s="1" t="s">
        <v>99</v>
      </c>
    </row>
    <row r="127" spans="2:6" x14ac:dyDescent="0.25">
      <c r="B127" s="1">
        <v>77</v>
      </c>
      <c r="C127" s="1" t="s">
        <v>189</v>
      </c>
      <c r="D127" s="2">
        <f>+NUOVI!C169</f>
        <v>10.2012</v>
      </c>
      <c r="E127" s="1" t="s">
        <v>99</v>
      </c>
    </row>
    <row r="128" spans="2:6" x14ac:dyDescent="0.25">
      <c r="B128" s="1">
        <v>78</v>
      </c>
      <c r="C128" s="1" t="s">
        <v>190</v>
      </c>
      <c r="D128" s="2">
        <f>+NUOVI!C171</f>
        <v>4.2485999999999997</v>
      </c>
      <c r="E128" s="1" t="s">
        <v>99</v>
      </c>
    </row>
    <row r="129" spans="2:5" x14ac:dyDescent="0.25">
      <c r="B129" s="1">
        <v>79</v>
      </c>
      <c r="C129" s="1" t="s">
        <v>191</v>
      </c>
      <c r="D129" s="2">
        <f>+NUOVI!C172</f>
        <v>2.8323999999999998</v>
      </c>
      <c r="E129" s="1" t="s">
        <v>99</v>
      </c>
    </row>
    <row r="130" spans="2:5" x14ac:dyDescent="0.25">
      <c r="B130" s="1">
        <v>80</v>
      </c>
      <c r="C130" s="1" t="s">
        <v>192</v>
      </c>
      <c r="D130" s="2">
        <f>+NUOVI!C170</f>
        <v>2.8323999999999998</v>
      </c>
      <c r="E130" s="1" t="s">
        <v>99</v>
      </c>
    </row>
    <row r="131" spans="2:5" x14ac:dyDescent="0.25">
      <c r="B131" s="1">
        <v>81</v>
      </c>
      <c r="C131" s="1" t="s">
        <v>193</v>
      </c>
      <c r="D131" s="2">
        <f>+NUOVI!C168</f>
        <v>3.2704000000000004</v>
      </c>
      <c r="E131" s="1" t="s">
        <v>99</v>
      </c>
    </row>
    <row r="132" spans="2:5" x14ac:dyDescent="0.25">
      <c r="B132" s="1">
        <v>82</v>
      </c>
      <c r="C132" s="1" t="s">
        <v>197</v>
      </c>
      <c r="D132" s="2">
        <f>1.2*2</f>
        <v>2.4</v>
      </c>
      <c r="E132" s="1" t="s">
        <v>99</v>
      </c>
    </row>
    <row r="133" spans="2:5" x14ac:dyDescent="0.25">
      <c r="B133" s="1">
        <v>82</v>
      </c>
      <c r="C133" s="1" t="s">
        <v>195</v>
      </c>
      <c r="D133" s="2">
        <f>8.5*3</f>
        <v>25.5</v>
      </c>
      <c r="E133" s="1" t="s">
        <v>99</v>
      </c>
    </row>
    <row r="134" spans="2:5" x14ac:dyDescent="0.25">
      <c r="B134" s="1">
        <v>82</v>
      </c>
      <c r="C134" s="1" t="s">
        <v>194</v>
      </c>
      <c r="D134" s="2">
        <f>8.21*8+3*6.51+8.21*8.1</f>
        <v>151.71100000000001</v>
      </c>
      <c r="E134" s="1" t="s">
        <v>99</v>
      </c>
    </row>
    <row r="135" spans="2:5" x14ac:dyDescent="0.25">
      <c r="B135" s="1">
        <v>82</v>
      </c>
      <c r="C135" s="1" t="s">
        <v>196</v>
      </c>
      <c r="D135" s="2">
        <f>12.03*4.41</f>
        <v>53.052299999999995</v>
      </c>
      <c r="E135" s="1" t="s">
        <v>99</v>
      </c>
    </row>
    <row r="137" spans="2:5" x14ac:dyDescent="0.25">
      <c r="B137" s="1">
        <v>158</v>
      </c>
      <c r="C137" s="1" t="s">
        <v>207</v>
      </c>
      <c r="D137" s="2">
        <f>(6*(5.3-1)*(1+0.5))+(12*7.45*0.5)+(12*(5.3-1)*(1+0.5))+(12*5.45*0.5)+(2*5.45*0.5)+(2*(4.5-1)*(1+0.5))+(2*3.5*(1+0.5))+(4*7.45*0.5)+(6*7.45*0.5)+(4*(4.5-1)*0.5)+(14.5*(1+0.5))+(13.5*(1+0.5))</f>
        <v>306.2</v>
      </c>
      <c r="E137" s="1" t="s">
        <v>99</v>
      </c>
    </row>
    <row r="138" spans="2:5" x14ac:dyDescent="0.25">
      <c r="B138" s="1">
        <v>158</v>
      </c>
      <c r="C138" s="1" t="s">
        <v>208</v>
      </c>
      <c r="D138" s="2">
        <f>(5*1.5*7.45)+(2*2.3*7.45)+(2*2.3*5.45)+(2*5.45*0.5)+(2*1.5*5.45)+(4*7.45*0.5)+(2*(3.5-1)*(1+0.5))+(6*(4.5-1)*(1+0.5))+((34.9-(1.5*5)-(1.1*2))*(1+0.5))+((17.5-(1.5*2)-(1.1+0.5))*(1+0.5))+((5.9-(1.2+0.5))*(1+0.5))+(14.5*(1+0.5))+(13.5*(1+0.5))</f>
        <v>296.36500000000001</v>
      </c>
      <c r="E138" s="1" t="s">
        <v>99</v>
      </c>
    </row>
  </sheetData>
  <pageMargins left="0.7" right="0.7" top="0.75" bottom="0.75" header="0.3" footer="0.3"/>
  <ignoredErrors>
    <ignoredError sqref="D10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BF340-0882-403B-AD8F-E6E8FFD5AFD6}">
  <dimension ref="B2:Q177"/>
  <sheetViews>
    <sheetView zoomScale="85" zoomScaleNormal="85" workbookViewId="0">
      <selection activeCell="C109" sqref="C109"/>
    </sheetView>
  </sheetViews>
  <sheetFormatPr defaultRowHeight="15" x14ac:dyDescent="0.25"/>
  <cols>
    <col min="1" max="1" width="9.140625" style="2"/>
    <col min="2" max="2" width="35" style="2" customWidth="1"/>
    <col min="3" max="3" width="10.140625" style="2" bestFit="1" customWidth="1"/>
    <col min="4" max="6" width="9.140625" style="2"/>
    <col min="7" max="7" width="19" style="2" customWidth="1"/>
    <col min="8" max="14" width="9.140625" style="2"/>
    <col min="15" max="15" width="14.42578125" style="2" bestFit="1" customWidth="1"/>
    <col min="16" max="16384" width="9.140625" style="2"/>
  </cols>
  <sheetData>
    <row r="2" spans="2:15" x14ac:dyDescent="0.25">
      <c r="B2" s="2" t="s">
        <v>74</v>
      </c>
      <c r="C2" s="2" t="s">
        <v>56</v>
      </c>
      <c r="D2" s="2" t="s">
        <v>57</v>
      </c>
      <c r="E2" s="2" t="s">
        <v>58</v>
      </c>
    </row>
    <row r="3" spans="2:15" x14ac:dyDescent="0.25">
      <c r="B3" s="2" t="s">
        <v>11</v>
      </c>
      <c r="C3" s="2">
        <v>3.8</v>
      </c>
      <c r="D3" s="2">
        <v>4.5999999999999996</v>
      </c>
      <c r="E3" s="2">
        <v>5.8</v>
      </c>
    </row>
    <row r="4" spans="2:15" x14ac:dyDescent="0.25">
      <c r="B4" s="2" t="s">
        <v>12</v>
      </c>
      <c r="C4" s="11">
        <v>155.9</v>
      </c>
      <c r="D4" s="11">
        <v>209.3</v>
      </c>
      <c r="E4" s="11">
        <v>93.9</v>
      </c>
    </row>
    <row r="5" spans="2:15" x14ac:dyDescent="0.25">
      <c r="B5" s="2" t="s">
        <v>13</v>
      </c>
      <c r="C5" s="11">
        <f>653.8+1.208*1*1</f>
        <v>655.00799999999992</v>
      </c>
      <c r="D5" s="11">
        <f>759.5+((4*1.54)+(0.73*4)+(1.75)*1.208)</f>
        <v>770.69399999999996</v>
      </c>
      <c r="E5" s="11">
        <v>357.2</v>
      </c>
    </row>
    <row r="6" spans="2:15" x14ac:dyDescent="0.25">
      <c r="B6" s="2" t="s">
        <v>9</v>
      </c>
      <c r="C6" s="11">
        <v>3.93</v>
      </c>
      <c r="D6" s="11">
        <v>4.58</v>
      </c>
      <c r="E6" s="11">
        <v>2.04</v>
      </c>
    </row>
    <row r="7" spans="2:15" x14ac:dyDescent="0.25">
      <c r="B7" s="2" t="s">
        <v>10</v>
      </c>
      <c r="C7" s="11">
        <v>15.67</v>
      </c>
      <c r="D7" s="11">
        <v>18.25</v>
      </c>
      <c r="E7" s="11">
        <v>8.1999999999999993</v>
      </c>
    </row>
    <row r="8" spans="2:15" x14ac:dyDescent="0.25">
      <c r="B8" s="2" t="s">
        <v>75</v>
      </c>
      <c r="C8" s="11">
        <f>(4.01+0.96+4.15+3.65+5.71+2.01+4.97+3.07+2.02+3.65+5.35+3.07+4.97+2.38+3.64+2.01+0.96+4.15+2.02)/0.2*0.5*0.395</f>
        <v>61.965625000000003</v>
      </c>
      <c r="D8" s="11">
        <f>(8.22+1.46+6.52+8.11+8.21+1.46+6.51+3.02+8.14+2.98+7.98+8.01+3.02)/0.2*0.5*0.395</f>
        <v>72.719499999999996</v>
      </c>
      <c r="E8" s="11">
        <f>(12.05+4.44+12.05+4.44)/0.2*0.5*0.395</f>
        <v>32.567750000000004</v>
      </c>
    </row>
    <row r="10" spans="2:15" x14ac:dyDescent="0.25">
      <c r="B10" s="2" t="s">
        <v>33</v>
      </c>
      <c r="C10" s="4">
        <v>41</v>
      </c>
      <c r="D10" s="4">
        <v>40</v>
      </c>
      <c r="E10" s="4">
        <v>38</v>
      </c>
      <c r="F10" s="4">
        <v>39</v>
      </c>
      <c r="G10" s="4">
        <v>31</v>
      </c>
      <c r="H10" s="4">
        <v>42</v>
      </c>
      <c r="I10" s="4">
        <v>43</v>
      </c>
      <c r="J10" s="4">
        <v>30</v>
      </c>
    </row>
    <row r="11" spans="2:15" x14ac:dyDescent="0.25">
      <c r="B11" s="2" t="s">
        <v>16</v>
      </c>
      <c r="C11" s="11">
        <f>((8.8)*4.81-2.5*2.45)*9*0.395*0.55</f>
        <v>70.785915750000001</v>
      </c>
      <c r="D11" s="11">
        <f>(8.8*4.81-2.45*2.5)*9*0.55*0.395</f>
        <v>70.785915750000015</v>
      </c>
      <c r="E11" s="11">
        <f>(8.8*4.88-2.45*2.5)*9*0.55*0.395</f>
        <v>71.990349750000021</v>
      </c>
      <c r="F11" s="11">
        <f>(8.8*2.86-2.5*1.5-3*1.5)*9*0.395*0.55</f>
        <v>33.078919500000005</v>
      </c>
      <c r="G11" s="11">
        <f>(9.04*2.46-2.5*1.3-3*1.3)*9*0.395*0.55</f>
        <v>29.501594099999998</v>
      </c>
      <c r="H11" s="11">
        <f>9.15*4.3*9*0.395*0.55</f>
        <v>76.929311250000012</v>
      </c>
      <c r="I11" s="11">
        <f>+(9.15-2.5*1.3-3*1.3)*9*0.395*0.55</f>
        <v>3.9105000000000003</v>
      </c>
      <c r="J11" s="11">
        <f>(9.04*4.3)*9*0.395*0.55</f>
        <v>76.004477999999992</v>
      </c>
    </row>
    <row r="12" spans="2:15" x14ac:dyDescent="0.25">
      <c r="B12" s="2" t="s">
        <v>223</v>
      </c>
      <c r="C12" s="11">
        <f>8.8/0.1*2.5*0.395+8.8/0.25*1.3*0.888*3</f>
        <v>208.80464000000001</v>
      </c>
      <c r="D12" s="11">
        <f>(8.8/0.1*2.4+8.8/0.1*2.5)*0.395</f>
        <v>170.32400000000001</v>
      </c>
      <c r="E12" s="11">
        <f>8.8/0.25*1.3*0.888*3</f>
        <v>121.90464</v>
      </c>
      <c r="F12" s="11">
        <f>8.8/0.1*2.85*0.395</f>
        <v>99.066000000000003</v>
      </c>
      <c r="G12" s="11">
        <f>9.04/0.1*1.65*0.395</f>
        <v>58.918199999999992</v>
      </c>
      <c r="H12" s="11">
        <f>9.15/0.25*1.45*0.888+9.2/0.1*2*0.888</f>
        <v>210.51815999999997</v>
      </c>
      <c r="I12" s="11">
        <f>9.15/0.1*1.65*0.395</f>
        <v>59.635125000000002</v>
      </c>
      <c r="J12" s="11">
        <f>9.04/0.25*1.45*0.888+9.09/0.1*2*0.888</f>
        <v>207.99801599999998</v>
      </c>
      <c r="O12" s="6"/>
    </row>
    <row r="13" spans="2:15" x14ac:dyDescent="0.25">
      <c r="B13" s="2" t="s">
        <v>12</v>
      </c>
      <c r="C13" s="11">
        <v>100.3</v>
      </c>
      <c r="D13" s="11">
        <v>47.7</v>
      </c>
      <c r="E13" s="11">
        <v>50.9</v>
      </c>
      <c r="F13" s="11">
        <v>23.4</v>
      </c>
      <c r="G13" s="11">
        <v>41.9</v>
      </c>
      <c r="H13" s="11">
        <v>108.9</v>
      </c>
      <c r="I13" s="11">
        <v>42.5</v>
      </c>
      <c r="J13" s="11">
        <v>107.4</v>
      </c>
    </row>
    <row r="14" spans="2:15" x14ac:dyDescent="0.25">
      <c r="B14" s="2" t="s">
        <v>14</v>
      </c>
      <c r="C14" s="11"/>
      <c r="D14" s="11"/>
      <c r="E14" s="11"/>
      <c r="F14" s="11"/>
      <c r="G14" s="11"/>
      <c r="H14" s="11"/>
      <c r="I14" s="11"/>
      <c r="J14" s="11"/>
    </row>
    <row r="15" spans="2:15" x14ac:dyDescent="0.25">
      <c r="B15" s="2" t="s">
        <v>15</v>
      </c>
      <c r="C15" s="11">
        <v>211.2</v>
      </c>
      <c r="D15" s="11">
        <v>88.5</v>
      </c>
      <c r="E15" s="11"/>
      <c r="F15" s="11"/>
      <c r="G15" s="11">
        <v>39.4</v>
      </c>
      <c r="H15" s="11">
        <v>14.7</v>
      </c>
      <c r="I15" s="11">
        <v>46.9</v>
      </c>
      <c r="J15" s="11">
        <v>29</v>
      </c>
    </row>
    <row r="16" spans="2:15" x14ac:dyDescent="0.25">
      <c r="B16" s="2" t="s">
        <v>53</v>
      </c>
      <c r="C16" s="11">
        <v>2813.7</v>
      </c>
      <c r="D16" s="11">
        <v>1463.7</v>
      </c>
      <c r="E16" s="11">
        <v>2680.3</v>
      </c>
      <c r="F16" s="11">
        <v>1455.4</v>
      </c>
      <c r="G16" s="11">
        <v>1330.1</v>
      </c>
      <c r="H16" s="11">
        <v>2734.8</v>
      </c>
      <c r="I16" s="11">
        <v>1349.5</v>
      </c>
      <c r="J16" s="11">
        <v>2702.1</v>
      </c>
    </row>
    <row r="17" spans="2:17" x14ac:dyDescent="0.25">
      <c r="B17" s="2" t="s">
        <v>9</v>
      </c>
      <c r="C17" s="11">
        <v>14.49</v>
      </c>
      <c r="D17" s="11">
        <v>6.89</v>
      </c>
      <c r="E17" s="11">
        <v>14.71</v>
      </c>
      <c r="F17" s="11">
        <v>6.75</v>
      </c>
      <c r="G17" s="11">
        <v>6.04</v>
      </c>
      <c r="H17" s="11">
        <v>15.72</v>
      </c>
      <c r="I17" s="11">
        <v>6.15</v>
      </c>
      <c r="J17" s="11">
        <v>15.53</v>
      </c>
    </row>
    <row r="18" spans="2:17" x14ac:dyDescent="0.25">
      <c r="B18" s="2" t="s">
        <v>10</v>
      </c>
      <c r="C18" s="11">
        <f>79.49</f>
        <v>79.489999999999995</v>
      </c>
      <c r="D18" s="11">
        <f>41.47</f>
        <v>41.47</v>
      </c>
      <c r="E18" s="11">
        <f>80.6</f>
        <v>80.599999999999994</v>
      </c>
      <c r="F18" s="11">
        <f>40.79</f>
        <v>40.79</v>
      </c>
      <c r="G18" s="11">
        <v>38.43</v>
      </c>
      <c r="H18" s="11">
        <v>87.64</v>
      </c>
      <c r="I18" s="11">
        <v>39.06</v>
      </c>
      <c r="J18" s="11">
        <v>86.6</v>
      </c>
    </row>
    <row r="20" spans="2:17" x14ac:dyDescent="0.25">
      <c r="B20" s="2" t="s">
        <v>18</v>
      </c>
      <c r="C20" s="4" t="s">
        <v>32</v>
      </c>
      <c r="D20" s="20" t="s">
        <v>40</v>
      </c>
      <c r="E20" s="20" t="s">
        <v>41</v>
      </c>
      <c r="F20" s="20" t="s">
        <v>42</v>
      </c>
      <c r="G20" s="20" t="s">
        <v>43</v>
      </c>
      <c r="H20" s="20" t="s">
        <v>44</v>
      </c>
      <c r="I20" s="4" t="s">
        <v>45</v>
      </c>
      <c r="J20" s="4" t="s">
        <v>46</v>
      </c>
      <c r="K20" s="2" t="s">
        <v>211</v>
      </c>
      <c r="L20" s="2" t="s">
        <v>212</v>
      </c>
      <c r="M20" s="2" t="s">
        <v>213</v>
      </c>
      <c r="N20" s="2" t="s">
        <v>214</v>
      </c>
      <c r="O20" s="2" t="s">
        <v>215</v>
      </c>
    </row>
    <row r="21" spans="2:17" x14ac:dyDescent="0.25">
      <c r="B21" s="2" t="s">
        <v>16</v>
      </c>
      <c r="C21" s="11">
        <f>9*7.95*9*0.395*0.55</f>
        <v>139.89813749999999</v>
      </c>
      <c r="D21" s="11">
        <f>3.31*0.55*9*0.395*0.55</f>
        <v>3.559532625000001</v>
      </c>
      <c r="E21" s="11">
        <f>2.28*0.55*9*0.395*0.55</f>
        <v>2.4518835000000005</v>
      </c>
      <c r="F21" s="11">
        <f>2.29*0.55*9*0.395*0.55</f>
        <v>2.4626373750000004</v>
      </c>
      <c r="G21" s="11">
        <f>5.21*0.55*9*0.395*0.55</f>
        <v>5.6027688750000015</v>
      </c>
      <c r="H21" s="11">
        <f>5.59*0.55*9*0.395*0.55</f>
        <v>6.0114161250000011</v>
      </c>
      <c r="I21" s="11">
        <f>(19.85*1.3-1.2*0.6)*9*0.395*0.55</f>
        <v>49.047446250000014</v>
      </c>
      <c r="J21" s="11">
        <f>(12.23*2.55-1.2*0.6)*9*0.395*0.55</f>
        <v>59.569624125000011</v>
      </c>
      <c r="K21" s="11">
        <f>7.8*9*0.395*0.55</f>
        <v>15.250950000000003</v>
      </c>
      <c r="L21" s="11">
        <f>1*9*0.395*0.55</f>
        <v>1.9552500000000002</v>
      </c>
      <c r="M21" s="11">
        <f>8.87*9*0.395*0.55</f>
        <v>17.3430675</v>
      </c>
      <c r="N21" s="11">
        <f>47.03*9*0.395*0.55</f>
        <v>91.955407500000007</v>
      </c>
      <c r="O21" s="11">
        <f>47.03*9*0.395*0.55</f>
        <v>91.955407500000007</v>
      </c>
    </row>
    <row r="22" spans="2:17" x14ac:dyDescent="0.25">
      <c r="B22" s="2" t="s">
        <v>17</v>
      </c>
      <c r="C22" s="11">
        <f>7.95/0.1*2.2*0.395*2</f>
        <v>138.17100000000002</v>
      </c>
      <c r="D22" s="11">
        <f>0.55/0.1*1.2*0.395*2</f>
        <v>5.2139999999999995</v>
      </c>
      <c r="E22" s="11">
        <f>0.55/0.1*1.2*0.395*2</f>
        <v>5.2139999999999995</v>
      </c>
      <c r="F22" s="11">
        <f>0.55/0.1*1.2*0.395*2</f>
        <v>5.2139999999999995</v>
      </c>
      <c r="G22" s="11">
        <f>0.55/0.1*1.2*0.395*2</f>
        <v>5.2139999999999995</v>
      </c>
      <c r="H22" s="11">
        <f>0.55/0.1*1.2*0.395*2</f>
        <v>5.2139999999999995</v>
      </c>
      <c r="I22" s="11">
        <f>1.3/0.1*1.2*0.395*2</f>
        <v>12.324</v>
      </c>
      <c r="J22" s="11">
        <f>2.55/0.1*1.2*0.395*2</f>
        <v>24.173999999999996</v>
      </c>
      <c r="K22" s="11">
        <f>2/0.15*1.2*0.395*2</f>
        <v>12.64</v>
      </c>
      <c r="L22" s="11">
        <f>2/0.15*1.2*0.395*2</f>
        <v>12.64</v>
      </c>
      <c r="M22" s="11">
        <f>2/0.15*1.2*0.395*2</f>
        <v>12.64</v>
      </c>
      <c r="N22" s="11">
        <f>8.25/0.1*1.2*0.395*2</f>
        <v>78.210000000000008</v>
      </c>
      <c r="O22" s="11">
        <f>8.25/0.1*1.2*0.395*2</f>
        <v>78.210000000000008</v>
      </c>
    </row>
    <row r="23" spans="2:17" x14ac:dyDescent="0.25">
      <c r="B23" s="2" t="s">
        <v>12</v>
      </c>
      <c r="C23" s="11">
        <f>610.8-0.55/0.5*24.25*0.395*2-0.75/0.5*19.25*0.395*2-1.25/0.5*5.25*0.395*2</f>
        <v>556.54674999999997</v>
      </c>
      <c r="D23" s="11">
        <v>1.5</v>
      </c>
      <c r="E23" s="11">
        <v>28.5</v>
      </c>
      <c r="F23" s="11">
        <v>1</v>
      </c>
      <c r="G23" s="11">
        <v>2.5</v>
      </c>
      <c r="H23" s="11">
        <v>2.7</v>
      </c>
      <c r="I23" s="11">
        <v>21.4</v>
      </c>
      <c r="J23" s="11">
        <v>25.9</v>
      </c>
      <c r="K23" s="11">
        <v>170.9</v>
      </c>
      <c r="L23" s="11">
        <v>11.2</v>
      </c>
      <c r="M23" s="11">
        <v>70.099999999999994</v>
      </c>
      <c r="N23" s="11">
        <v>297.7</v>
      </c>
      <c r="O23" s="11">
        <v>297.7</v>
      </c>
    </row>
    <row r="24" spans="2:17" x14ac:dyDescent="0.25">
      <c r="B24" s="2" t="s">
        <v>14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2:17" x14ac:dyDescent="0.25">
      <c r="B25" s="2" t="s">
        <v>15</v>
      </c>
      <c r="C25" s="11">
        <f>4618.9-5/0.25*0.55*0.888*2-14/0.25*1.3*0.888*2-5.25/0.25*2.55*0.888*2</f>
        <v>4374.9663999999993</v>
      </c>
      <c r="D25" s="11"/>
      <c r="E25" s="11"/>
      <c r="F25" s="11"/>
      <c r="G25" s="11"/>
      <c r="H25" s="11">
        <v>146.19999999999999</v>
      </c>
      <c r="I25" s="11"/>
      <c r="J25" s="11">
        <v>1178.8</v>
      </c>
      <c r="K25" s="11">
        <v>91.8</v>
      </c>
      <c r="L25" s="11">
        <v>57.2</v>
      </c>
      <c r="M25" s="11">
        <v>374.9</v>
      </c>
      <c r="N25" s="11">
        <v>2168.4</v>
      </c>
      <c r="O25" s="11">
        <v>2168.4</v>
      </c>
    </row>
    <row r="26" spans="2:17" x14ac:dyDescent="0.25">
      <c r="B26" s="2" t="s">
        <v>13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</row>
    <row r="27" spans="2:17" x14ac:dyDescent="0.25">
      <c r="B27" s="2" t="s">
        <v>53</v>
      </c>
      <c r="C27" s="11"/>
      <c r="D27" s="11">
        <v>158.1</v>
      </c>
      <c r="E27" s="11"/>
      <c r="F27" s="11">
        <v>109.8</v>
      </c>
      <c r="G27" s="11">
        <v>244.7</v>
      </c>
      <c r="H27" s="11"/>
      <c r="I27" s="11">
        <v>1790.8</v>
      </c>
      <c r="J27" s="11"/>
      <c r="K27" s="11"/>
      <c r="L27" s="11"/>
      <c r="M27" s="11"/>
      <c r="N27" s="11"/>
      <c r="O27" s="11"/>
    </row>
    <row r="28" spans="2:17" x14ac:dyDescent="0.25">
      <c r="B28" s="2" t="s">
        <v>9</v>
      </c>
      <c r="C28" s="11">
        <f>42.07-33.62*0.4</f>
        <v>28.622</v>
      </c>
      <c r="D28" s="11">
        <v>0.45</v>
      </c>
      <c r="E28" s="11">
        <v>0.31</v>
      </c>
      <c r="F28" s="11">
        <v>0.32</v>
      </c>
      <c r="G28" s="11">
        <v>0.72</v>
      </c>
      <c r="H28" s="11">
        <v>0.77</v>
      </c>
      <c r="I28" s="11">
        <v>6.27</v>
      </c>
      <c r="J28" s="11">
        <v>7.62</v>
      </c>
      <c r="K28" s="11">
        <f>4.08-(2.2*0.4)</f>
        <v>3.2</v>
      </c>
      <c r="L28" s="11">
        <f>0.51-(0.29*0.4)</f>
        <v>0.39400000000000002</v>
      </c>
      <c r="M28" s="11">
        <f>4.59-(2.61*0.4)</f>
        <v>3.5459999999999998</v>
      </c>
      <c r="N28" s="11">
        <f>20.06-(3.13*0.4)</f>
        <v>18.808</v>
      </c>
      <c r="O28" s="11">
        <f>20.06-(3.13*0.4)</f>
        <v>18.808</v>
      </c>
    </row>
    <row r="29" spans="2:17" x14ac:dyDescent="0.25">
      <c r="B29" s="2" t="s">
        <v>10</v>
      </c>
      <c r="C29" s="11">
        <f>219.69-33.62*2</f>
        <v>152.44999999999999</v>
      </c>
      <c r="D29" s="11">
        <v>3.91</v>
      </c>
      <c r="E29" s="11">
        <v>2.78</v>
      </c>
      <c r="F29" s="11">
        <v>2.8</v>
      </c>
      <c r="G29" s="11">
        <v>6.01</v>
      </c>
      <c r="H29" s="11">
        <v>6.42</v>
      </c>
      <c r="I29" s="11">
        <v>51.42</v>
      </c>
      <c r="J29" s="11">
        <v>62.81</v>
      </c>
      <c r="K29" s="11">
        <f>22.44-(2.2*2)</f>
        <v>18.04</v>
      </c>
      <c r="L29" s="11">
        <f>4.59-(0.29*2)</f>
        <v>4.01</v>
      </c>
      <c r="M29" s="11">
        <f>25-(2.61*2)</f>
        <v>19.78</v>
      </c>
      <c r="N29" s="11">
        <f>107.36-(3.13*2)</f>
        <v>101.1</v>
      </c>
      <c r="O29" s="11">
        <f>107.36-(3.13*2)</f>
        <v>101.1</v>
      </c>
    </row>
    <row r="31" spans="2:17" x14ac:dyDescent="0.25">
      <c r="B31" s="2" t="s">
        <v>48</v>
      </c>
      <c r="C31" s="21" t="s">
        <v>52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</row>
    <row r="32" spans="2:17" x14ac:dyDescent="0.25">
      <c r="C32">
        <v>2</v>
      </c>
      <c r="D32">
        <v>3</v>
      </c>
      <c r="E32" s="22">
        <v>4</v>
      </c>
      <c r="F32">
        <v>5</v>
      </c>
      <c r="G32">
        <v>6</v>
      </c>
      <c r="H32" s="22">
        <v>17</v>
      </c>
      <c r="I32">
        <v>19</v>
      </c>
      <c r="J32">
        <v>20</v>
      </c>
      <c r="K32">
        <v>21</v>
      </c>
      <c r="L32">
        <v>9</v>
      </c>
      <c r="M32">
        <v>11</v>
      </c>
      <c r="N32">
        <v>13</v>
      </c>
      <c r="O32">
        <v>15</v>
      </c>
      <c r="P32" s="22">
        <v>8</v>
      </c>
      <c r="Q32" s="22">
        <v>12</v>
      </c>
    </row>
    <row r="33" spans="2:17" x14ac:dyDescent="0.25">
      <c r="B33" s="2" t="s">
        <v>49</v>
      </c>
      <c r="C33">
        <v>0.1</v>
      </c>
      <c r="D33">
        <v>0.1</v>
      </c>
      <c r="E33" s="21">
        <v>0.1</v>
      </c>
      <c r="F33">
        <v>0.1</v>
      </c>
      <c r="G33">
        <v>0.1</v>
      </c>
      <c r="H33" s="21">
        <v>0.1</v>
      </c>
      <c r="I33">
        <v>0.1</v>
      </c>
      <c r="J33">
        <v>0.1</v>
      </c>
      <c r="K33">
        <v>0.1</v>
      </c>
      <c r="L33">
        <v>0.1</v>
      </c>
      <c r="M33">
        <v>0.1</v>
      </c>
      <c r="N33">
        <v>0.1</v>
      </c>
      <c r="O33">
        <v>0.1</v>
      </c>
      <c r="P33" s="21">
        <v>0.1</v>
      </c>
      <c r="Q33" s="21">
        <v>0.1</v>
      </c>
    </row>
    <row r="34" spans="2:17" x14ac:dyDescent="0.25">
      <c r="B34" s="2" t="s">
        <v>50</v>
      </c>
      <c r="C34">
        <v>7.9</v>
      </c>
      <c r="D34">
        <v>7.9</v>
      </c>
      <c r="E34" s="21">
        <v>7.9</v>
      </c>
      <c r="F34">
        <v>7.9</v>
      </c>
      <c r="G34">
        <v>7.9</v>
      </c>
      <c r="H34" s="21">
        <v>7.9</v>
      </c>
      <c r="I34">
        <v>7.9</v>
      </c>
      <c r="J34">
        <v>7.9</v>
      </c>
      <c r="K34">
        <v>7.9</v>
      </c>
      <c r="L34">
        <v>7.9</v>
      </c>
      <c r="M34">
        <v>7.9</v>
      </c>
      <c r="N34">
        <v>7.9</v>
      </c>
      <c r="O34">
        <v>7.9</v>
      </c>
      <c r="P34" s="21">
        <v>7.9</v>
      </c>
      <c r="Q34" s="21">
        <v>7.9</v>
      </c>
    </row>
    <row r="35" spans="2:17" x14ac:dyDescent="0.25">
      <c r="B35" s="2" t="s">
        <v>51</v>
      </c>
      <c r="C35" s="25">
        <f>_xlfn.CEILING.MATH(C34/C33,1)</f>
        <v>79</v>
      </c>
      <c r="D35" s="25">
        <f>_xlfn.CEILING.MATH(D34/D33,1)</f>
        <v>79</v>
      </c>
      <c r="E35" s="22">
        <f>_xlfn.CEILING.MATH(E34/E33,1)*2</f>
        <v>158</v>
      </c>
      <c r="F35" s="25">
        <f>_xlfn.CEILING.MATH(F34/F33,1)</f>
        <v>79</v>
      </c>
      <c r="G35" s="25">
        <f>_xlfn.CEILING.MATH(G34/G33,1)</f>
        <v>79</v>
      </c>
      <c r="H35" s="22">
        <f>_xlfn.CEILING.MATH(H34/H33,1)*2</f>
        <v>158</v>
      </c>
      <c r="I35" s="25">
        <f>_xlfn.CEILING.MATH(I34/I33,1)</f>
        <v>79</v>
      </c>
      <c r="J35" s="25">
        <f t="shared" ref="J35:K35" si="0">_xlfn.CEILING.MATH(J34/J33,1)</f>
        <v>79</v>
      </c>
      <c r="K35" s="25">
        <f t="shared" si="0"/>
        <v>79</v>
      </c>
      <c r="L35" s="25">
        <f>_xlfn.CEILING.MATH(L34/L33,1)</f>
        <v>79</v>
      </c>
      <c r="M35" s="25">
        <f>_xlfn.CEILING.MATH(M34/M33,1)*2</f>
        <v>158</v>
      </c>
      <c r="N35" s="25">
        <f>_xlfn.CEILING.MATH(N34/N33,1)</f>
        <v>79</v>
      </c>
      <c r="O35" s="25">
        <f>_xlfn.CEILING.MATH(O34/O33,1)*2</f>
        <v>158</v>
      </c>
      <c r="P35" s="22">
        <f>_xlfn.CEILING.MATH(P34/P33,1)*2</f>
        <v>158</v>
      </c>
      <c r="Q35" s="22">
        <f>_xlfn.CEILING.MATH(Q34/Q33,1)*2</f>
        <v>158</v>
      </c>
    </row>
    <row r="38" spans="2:17" x14ac:dyDescent="0.25">
      <c r="B38" s="2" t="s">
        <v>55</v>
      </c>
      <c r="C38" s="2" t="s">
        <v>63</v>
      </c>
      <c r="D38" s="2" t="s">
        <v>64</v>
      </c>
      <c r="G38" s="16" t="s">
        <v>235</v>
      </c>
      <c r="H38" s="16"/>
      <c r="I38" s="16"/>
      <c r="J38" s="16"/>
    </row>
    <row r="39" spans="2:17" x14ac:dyDescent="0.25">
      <c r="B39" s="2" t="s">
        <v>12</v>
      </c>
      <c r="C39" s="11">
        <f>623.25*(1/0.2+1/0.2)</f>
        <v>6232.5</v>
      </c>
      <c r="D39" s="2" t="s">
        <v>7</v>
      </c>
      <c r="H39" s="2" t="s">
        <v>218</v>
      </c>
      <c r="I39" s="2" t="s">
        <v>220</v>
      </c>
      <c r="J39" s="2" t="s">
        <v>221</v>
      </c>
    </row>
    <row r="40" spans="2:17" x14ac:dyDescent="0.25">
      <c r="B40" s="2" t="s">
        <v>9</v>
      </c>
      <c r="C40" s="11">
        <f>623.25*0.04</f>
        <v>24.93</v>
      </c>
      <c r="D40" s="2">
        <f>623.25*0.1</f>
        <v>62.325000000000003</v>
      </c>
      <c r="G40" s="2" t="s">
        <v>6</v>
      </c>
      <c r="H40" s="2">
        <v>0.1</v>
      </c>
      <c r="I40" s="2">
        <v>0.1</v>
      </c>
      <c r="J40" s="2">
        <v>0.1</v>
      </c>
    </row>
    <row r="41" spans="2:17" x14ac:dyDescent="0.25">
      <c r="B41" s="2" t="s">
        <v>10</v>
      </c>
      <c r="C41" s="2">
        <v>0</v>
      </c>
      <c r="D41" s="2" t="s">
        <v>7</v>
      </c>
      <c r="G41" s="2" t="s">
        <v>216</v>
      </c>
      <c r="H41" s="2">
        <v>1.5780000000000001</v>
      </c>
      <c r="I41" s="2">
        <v>1.5780000000000001</v>
      </c>
      <c r="J41" s="2">
        <v>1.5780000000000001</v>
      </c>
    </row>
    <row r="42" spans="2:17" x14ac:dyDescent="0.25">
      <c r="B42" s="2" t="s">
        <v>82</v>
      </c>
      <c r="C42" s="2">
        <v>623.25</v>
      </c>
      <c r="G42" s="2" t="s">
        <v>217</v>
      </c>
      <c r="H42" s="2">
        <v>0.97</v>
      </c>
      <c r="I42" s="2">
        <v>0.97</v>
      </c>
      <c r="J42" s="2">
        <v>0.97</v>
      </c>
    </row>
    <row r="43" spans="2:17" x14ac:dyDescent="0.25">
      <c r="B43" s="2" t="s">
        <v>83</v>
      </c>
      <c r="C43" s="2">
        <v>623.25</v>
      </c>
      <c r="G43" s="2" t="s">
        <v>219</v>
      </c>
      <c r="H43" s="2">
        <v>2</v>
      </c>
      <c r="I43" s="2">
        <v>4</v>
      </c>
      <c r="J43" s="2">
        <v>2</v>
      </c>
    </row>
    <row r="44" spans="2:17" x14ac:dyDescent="0.25">
      <c r="B44" s="2" t="s">
        <v>84</v>
      </c>
      <c r="C44" s="2">
        <f>+C43</f>
        <v>623.25</v>
      </c>
      <c r="G44" s="2" t="s">
        <v>209</v>
      </c>
      <c r="H44" s="2">
        <v>2.5499999999999998</v>
      </c>
      <c r="I44" s="2">
        <v>2.5499999999999998</v>
      </c>
      <c r="J44" s="2">
        <v>2.5499999999999998</v>
      </c>
    </row>
    <row r="45" spans="2:17" x14ac:dyDescent="0.25">
      <c r="B45" s="2" t="s">
        <v>92</v>
      </c>
      <c r="C45" s="11">
        <f>+C44</f>
        <v>623.25</v>
      </c>
      <c r="G45" s="2" t="s">
        <v>222</v>
      </c>
      <c r="H45" s="2">
        <f>H44/H40*H41*H42*H43</f>
        <v>78.063659999999999</v>
      </c>
      <c r="I45" s="2">
        <f t="shared" ref="I45:J45" si="1">I44/I40*I41*I42*I43</f>
        <v>156.12732</v>
      </c>
      <c r="J45" s="2">
        <f t="shared" si="1"/>
        <v>78.063659999999999</v>
      </c>
    </row>
    <row r="47" spans="2:17" x14ac:dyDescent="0.25">
      <c r="B47" s="2" t="s">
        <v>60</v>
      </c>
      <c r="C47" s="2" t="s">
        <v>227</v>
      </c>
      <c r="D47" s="2" t="s">
        <v>228</v>
      </c>
    </row>
    <row r="48" spans="2:17" x14ac:dyDescent="0.25">
      <c r="B48" s="2" t="s">
        <v>12</v>
      </c>
      <c r="C48" s="11">
        <f>8.53*2*(1/0.2+1/0.2)*0.395</f>
        <v>67.387</v>
      </c>
      <c r="D48" s="11">
        <f>8.53*2*(1/0.2+1/0.2)*0.395</f>
        <v>67.387</v>
      </c>
    </row>
    <row r="49" spans="2:8" x14ac:dyDescent="0.25">
      <c r="B49" s="2" t="s">
        <v>9</v>
      </c>
      <c r="C49" s="11">
        <f>8.53*15/100</f>
        <v>1.2794999999999999</v>
      </c>
      <c r="D49" s="11">
        <f>8.53*15/100</f>
        <v>1.2794999999999999</v>
      </c>
    </row>
    <row r="50" spans="2:8" x14ac:dyDescent="0.25">
      <c r="B50" s="2" t="s">
        <v>10</v>
      </c>
      <c r="C50" s="11">
        <v>11.78</v>
      </c>
      <c r="D50" s="11">
        <v>11.78</v>
      </c>
    </row>
    <row r="51" spans="2:8" x14ac:dyDescent="0.25">
      <c r="B51" s="2" t="s">
        <v>83</v>
      </c>
      <c r="C51" s="2">
        <f>+C50</f>
        <v>11.78</v>
      </c>
    </row>
    <row r="53" spans="2:8" x14ac:dyDescent="0.25">
      <c r="B53" s="2" t="s">
        <v>66</v>
      </c>
      <c r="C53" s="4" t="s">
        <v>224</v>
      </c>
      <c r="D53" s="4" t="s">
        <v>225</v>
      </c>
      <c r="E53" s="4" t="s">
        <v>226</v>
      </c>
    </row>
    <row r="54" spans="2:8" x14ac:dyDescent="0.25">
      <c r="B54" s="2" t="s">
        <v>62</v>
      </c>
      <c r="C54" s="12">
        <f>34.13*5.8</f>
        <v>197.95400000000001</v>
      </c>
      <c r="D54" s="12">
        <f>15.69*5.8</f>
        <v>91.001999999999995</v>
      </c>
      <c r="E54" s="12">
        <f>15.69*5.8</f>
        <v>91.001999999999995</v>
      </c>
    </row>
    <row r="55" spans="2:8" x14ac:dyDescent="0.25">
      <c r="B55" s="2" t="s">
        <v>61</v>
      </c>
      <c r="C55" s="11">
        <f>(32.7-12.84)/0.1*0.5*0.395+34.13*9*0.395+C54*0.4*0.395</f>
        <v>191.83238200000002</v>
      </c>
      <c r="D55" s="11">
        <f>+(17.16-6.33)/0.1*0.5*0.395+34.13*9*0.395+D54*0.4*0.395</f>
        <v>157.09971600000003</v>
      </c>
      <c r="E55" s="11">
        <f>+D55</f>
        <v>157.09971600000003</v>
      </c>
    </row>
    <row r="56" spans="2:8" x14ac:dyDescent="0.25">
      <c r="B56" s="2" t="s">
        <v>198</v>
      </c>
      <c r="C56" s="11">
        <f>34.13*2*4.082</f>
        <v>278.63731999999999</v>
      </c>
      <c r="D56" s="11">
        <f>15.69*4.082*2</f>
        <v>128.09315999999998</v>
      </c>
      <c r="E56" s="11">
        <f>15.69*4.082*2</f>
        <v>128.09315999999998</v>
      </c>
    </row>
    <row r="57" spans="2:8" x14ac:dyDescent="0.25">
      <c r="B57" s="2" t="s">
        <v>199</v>
      </c>
      <c r="C57" s="11">
        <f>34.13*15/100</f>
        <v>5.1195000000000004</v>
      </c>
      <c r="D57" s="11">
        <f>15.69*15/100</f>
        <v>2.3534999999999999</v>
      </c>
      <c r="E57" s="11">
        <f>15.69*15/100</f>
        <v>2.3534999999999999</v>
      </c>
    </row>
    <row r="58" spans="2:8" x14ac:dyDescent="0.25">
      <c r="B58" s="2" t="s">
        <v>200</v>
      </c>
      <c r="C58" s="11">
        <f>34.13*5/100</f>
        <v>1.7065000000000001</v>
      </c>
      <c r="D58" s="11">
        <f>15.69*5/100</f>
        <v>0.78449999999999998</v>
      </c>
      <c r="E58" s="11">
        <f>+D58</f>
        <v>0.78449999999999998</v>
      </c>
    </row>
    <row r="59" spans="2:8" x14ac:dyDescent="0.25">
      <c r="B59" s="2" t="s">
        <v>10</v>
      </c>
      <c r="C59" s="11">
        <v>37.49</v>
      </c>
      <c r="D59" s="11">
        <v>18.010000000000002</v>
      </c>
      <c r="E59" s="11">
        <v>18.010000000000002</v>
      </c>
    </row>
    <row r="60" spans="2:8" x14ac:dyDescent="0.25">
      <c r="B60" s="2" t="s">
        <v>83</v>
      </c>
      <c r="C60" s="2">
        <v>34.130000000000003</v>
      </c>
      <c r="D60" s="2">
        <v>15.69</v>
      </c>
      <c r="E60" s="2">
        <f>+D60</f>
        <v>15.69</v>
      </c>
    </row>
    <row r="61" spans="2:8" x14ac:dyDescent="0.25">
      <c r="B61" s="2" t="s">
        <v>85</v>
      </c>
      <c r="C61" s="2">
        <f>+C60</f>
        <v>34.130000000000003</v>
      </c>
      <c r="D61" s="2">
        <f t="shared" ref="D61:E61" si="2">+D60</f>
        <v>15.69</v>
      </c>
      <c r="E61" s="2">
        <f t="shared" si="2"/>
        <v>15.69</v>
      </c>
    </row>
    <row r="63" spans="2:8" x14ac:dyDescent="0.25">
      <c r="B63" s="2" t="s">
        <v>67</v>
      </c>
      <c r="G63" s="2" t="s">
        <v>68</v>
      </c>
    </row>
    <row r="64" spans="2:8" x14ac:dyDescent="0.25">
      <c r="B64" s="2" t="s">
        <v>12</v>
      </c>
      <c r="C64" s="11">
        <f>(34.6+24.5)*2/0.2*1.3*0.395</f>
        <v>303.47850000000005</v>
      </c>
      <c r="G64" s="2" t="s">
        <v>69</v>
      </c>
      <c r="H64" s="2">
        <f>+(34.6+24.5)*2*0.055*0.008*7850*2*2</f>
        <v>1633.0512000000001</v>
      </c>
    </row>
    <row r="65" spans="2:8" x14ac:dyDescent="0.25">
      <c r="B65" s="2" t="s">
        <v>53</v>
      </c>
      <c r="C65" s="11">
        <f>(34.6+24.5)*2*2*1.578</f>
        <v>373.03920000000005</v>
      </c>
      <c r="G65" s="2" t="s">
        <v>70</v>
      </c>
      <c r="H65" s="2">
        <f>+(34.6+24.5)*2/0.2*2*0.25*0.888</f>
        <v>262.404</v>
      </c>
    </row>
    <row r="66" spans="2:8" x14ac:dyDescent="0.25">
      <c r="B66" s="2" t="s">
        <v>9</v>
      </c>
      <c r="C66" s="2">
        <f>0.15*0.25*(34.6+24.5)*2</f>
        <v>4.4325000000000001</v>
      </c>
    </row>
    <row r="67" spans="2:8" x14ac:dyDescent="0.25">
      <c r="B67" s="2" t="s">
        <v>10</v>
      </c>
      <c r="C67" s="2">
        <f>(34.6+24.5)*2*2</f>
        <v>236.4</v>
      </c>
    </row>
    <row r="69" spans="2:8" x14ac:dyDescent="0.25">
      <c r="B69" s="2" t="s">
        <v>87</v>
      </c>
      <c r="C69" s="2" t="s">
        <v>56</v>
      </c>
      <c r="D69" s="2" t="s">
        <v>57</v>
      </c>
      <c r="E69" s="2" t="s">
        <v>58</v>
      </c>
    </row>
    <row r="70" spans="2:8" x14ac:dyDescent="0.25">
      <c r="B70" s="23" t="s">
        <v>62</v>
      </c>
      <c r="C70" s="24">
        <f>28.97*5.8</f>
        <v>168.02599999999998</v>
      </c>
      <c r="D70" s="24">
        <f>38.78*5.8</f>
        <v>224.92400000000001</v>
      </c>
      <c r="E70" s="24">
        <f>23.09*5.8</f>
        <v>133.922</v>
      </c>
    </row>
    <row r="71" spans="2:8" x14ac:dyDescent="0.25">
      <c r="B71" s="2" t="s">
        <v>61</v>
      </c>
      <c r="C71" s="11">
        <f>+(59.37-3.77-11.27-11.62)/0.2*0.5*0.395+28.97*9*0.45*0.395</f>
        <v>78.645882499999999</v>
      </c>
      <c r="D71" s="11">
        <f>+(78.62-8.34-8.34-19.6)/0.2*0.5*0.395+38.78*9*0.45*0.395</f>
        <v>103.84905499999999</v>
      </c>
      <c r="E71" s="11">
        <f>+(48.34-4.57-4.57-12.06)/0.2*0.5*0.395+23.09*9*0.45*0.395</f>
        <v>63.738977500000004</v>
      </c>
    </row>
    <row r="72" spans="2:8" x14ac:dyDescent="0.25">
      <c r="B72" s="2" t="s">
        <v>229</v>
      </c>
      <c r="C72" s="11">
        <v>481.5</v>
      </c>
      <c r="D72" s="11">
        <v>642.5</v>
      </c>
      <c r="E72" s="11">
        <v>390.5</v>
      </c>
    </row>
    <row r="73" spans="2:8" x14ac:dyDescent="0.25">
      <c r="B73" s="2" t="s">
        <v>9</v>
      </c>
      <c r="C73" s="11">
        <v>4.63</v>
      </c>
      <c r="D73" s="11">
        <v>6.04</v>
      </c>
      <c r="E73" s="11">
        <v>3.69</v>
      </c>
    </row>
    <row r="74" spans="2:8" x14ac:dyDescent="0.25">
      <c r="B74" s="2" t="s">
        <v>10</v>
      </c>
      <c r="C74" s="11">
        <v>38.46</v>
      </c>
      <c r="D74" s="11">
        <v>50.27</v>
      </c>
      <c r="E74" s="11">
        <v>30.8</v>
      </c>
    </row>
    <row r="76" spans="2:8" x14ac:dyDescent="0.25">
      <c r="B76" s="2" t="s">
        <v>88</v>
      </c>
    </row>
    <row r="77" spans="2:8" x14ac:dyDescent="0.25">
      <c r="B77" s="2" t="s">
        <v>12</v>
      </c>
      <c r="C77" s="11">
        <f>1022.19*(1/0.15+1/0.15)*0.395</f>
        <v>5383.5340000000006</v>
      </c>
    </row>
    <row r="78" spans="2:8" x14ac:dyDescent="0.25">
      <c r="B78" s="2" t="s">
        <v>9</v>
      </c>
      <c r="C78" s="11">
        <f>1022.19*5/100+(23.5*0.01*5)+(5.56*2+5.42*4)*0.01*11</f>
        <v>55.892499999999998</v>
      </c>
    </row>
    <row r="79" spans="2:8" x14ac:dyDescent="0.25">
      <c r="B79" s="2" t="s">
        <v>10</v>
      </c>
      <c r="C79" s="2">
        <f>136.25*10/100</f>
        <v>13.625</v>
      </c>
    </row>
    <row r="80" spans="2:8" x14ac:dyDescent="0.25">
      <c r="B80" s="2" t="s">
        <v>71</v>
      </c>
      <c r="C80" s="12">
        <f>6.86*(5.32)*5</f>
        <v>182.47600000000003</v>
      </c>
      <c r="D80" s="2" t="s">
        <v>178</v>
      </c>
    </row>
    <row r="81" spans="2:4" x14ac:dyDescent="0.25">
      <c r="B81" s="2" t="s">
        <v>71</v>
      </c>
      <c r="C81" s="12">
        <f>35*11</f>
        <v>385</v>
      </c>
      <c r="D81" s="9" t="s">
        <v>179</v>
      </c>
    </row>
    <row r="82" spans="2:4" x14ac:dyDescent="0.25">
      <c r="B82" s="2" t="s">
        <v>89</v>
      </c>
      <c r="C82" s="2">
        <v>823.4</v>
      </c>
    </row>
    <row r="83" spans="2:4" x14ac:dyDescent="0.25">
      <c r="B83" s="2" t="s">
        <v>83</v>
      </c>
      <c r="C83" s="2">
        <f>+C82</f>
        <v>823.4</v>
      </c>
    </row>
    <row r="84" spans="2:4" x14ac:dyDescent="0.25">
      <c r="B84" s="2" t="s">
        <v>85</v>
      </c>
      <c r="C84" s="2">
        <f>+C83</f>
        <v>823.4</v>
      </c>
    </row>
    <row r="86" spans="2:4" x14ac:dyDescent="0.25">
      <c r="B86" s="2" t="s">
        <v>65</v>
      </c>
    </row>
    <row r="87" spans="2:4" x14ac:dyDescent="0.25">
      <c r="B87" s="2" t="s">
        <v>12</v>
      </c>
      <c r="C87" s="11">
        <f>21.84*(1/0.2+1/0.2)*0.395</f>
        <v>86.268000000000001</v>
      </c>
    </row>
    <row r="88" spans="2:4" x14ac:dyDescent="0.25">
      <c r="B88" s="2" t="s">
        <v>180</v>
      </c>
      <c r="C88" s="11">
        <f>21.84*5.8</f>
        <v>126.672</v>
      </c>
    </row>
    <row r="89" spans="2:4" x14ac:dyDescent="0.25">
      <c r="B89" s="2" t="s">
        <v>9</v>
      </c>
      <c r="C89" s="11">
        <f>21.84*5/100</f>
        <v>1.0920000000000001</v>
      </c>
    </row>
    <row r="90" spans="2:4" x14ac:dyDescent="0.25">
      <c r="B90" s="2" t="s">
        <v>82</v>
      </c>
      <c r="C90" s="2">
        <v>21.84</v>
      </c>
    </row>
    <row r="91" spans="2:4" x14ac:dyDescent="0.25">
      <c r="B91" s="2" t="s">
        <v>84</v>
      </c>
      <c r="C91" s="2">
        <f>+C90</f>
        <v>21.84</v>
      </c>
    </row>
    <row r="92" spans="2:4" x14ac:dyDescent="0.25">
      <c r="B92" s="2" t="s">
        <v>83</v>
      </c>
      <c r="C92" s="2">
        <f>+C91</f>
        <v>21.84</v>
      </c>
    </row>
    <row r="94" spans="2:4" x14ac:dyDescent="0.25">
      <c r="B94" s="2" t="s">
        <v>72</v>
      </c>
      <c r="C94" s="2" t="s">
        <v>63</v>
      </c>
      <c r="D94" s="2" t="s">
        <v>64</v>
      </c>
    </row>
    <row r="95" spans="2:4" x14ac:dyDescent="0.25">
      <c r="B95" s="2" t="s">
        <v>12</v>
      </c>
      <c r="C95" s="11">
        <f>(3.67*2.92+3.67*1.93+3.95*5.65+4.05*1.95+5*5.3)*(1/0.2+1/0.2)</f>
        <v>745.14499999999998</v>
      </c>
      <c r="D95" s="2" t="s">
        <v>7</v>
      </c>
    </row>
    <row r="96" spans="2:4" x14ac:dyDescent="0.25">
      <c r="B96" s="2" t="s">
        <v>9</v>
      </c>
      <c r="C96" s="11">
        <f>(3.67*2.92+3.67*1.93+3.95*5.65+4.05*1.95+5*5.3)*0.04</f>
        <v>2.9805799999999998</v>
      </c>
      <c r="D96" s="2">
        <f>(3.67*2.92+3.67*1.93+3.95*5.65+4.05*1.95+5*5.3)*0.1</f>
        <v>7.4514500000000004</v>
      </c>
    </row>
    <row r="97" spans="2:4" x14ac:dyDescent="0.25">
      <c r="B97" s="2" t="s">
        <v>10</v>
      </c>
      <c r="C97" s="2">
        <v>0</v>
      </c>
      <c r="D97" s="2" t="s">
        <v>7</v>
      </c>
    </row>
    <row r="98" spans="2:4" x14ac:dyDescent="0.25">
      <c r="B98" s="2" t="s">
        <v>82</v>
      </c>
      <c r="C98" s="2">
        <f>+(3.67*2.92+3.67*1.93+3.95*5.65+4.05*1.95+5*5.3)</f>
        <v>74.514499999999998</v>
      </c>
    </row>
    <row r="99" spans="2:4" x14ac:dyDescent="0.25">
      <c r="B99" s="2" t="s">
        <v>83</v>
      </c>
      <c r="C99" s="2">
        <f>+C98</f>
        <v>74.514499999999998</v>
      </c>
    </row>
    <row r="100" spans="2:4" x14ac:dyDescent="0.25">
      <c r="B100" s="2" t="s">
        <v>84</v>
      </c>
      <c r="C100" s="2">
        <f>+C99</f>
        <v>74.514499999999998</v>
      </c>
    </row>
    <row r="101" spans="2:4" x14ac:dyDescent="0.25">
      <c r="B101" s="2" t="s">
        <v>186</v>
      </c>
      <c r="C101" s="11">
        <f>+C100</f>
        <v>74.514499999999998</v>
      </c>
    </row>
    <row r="103" spans="2:4" x14ac:dyDescent="0.25">
      <c r="B103" s="2" t="s">
        <v>73</v>
      </c>
    </row>
    <row r="104" spans="2:4" x14ac:dyDescent="0.25">
      <c r="B104" s="2" t="s">
        <v>160</v>
      </c>
      <c r="C104" s="11">
        <f>94.74*(1/0.2+1/0.2)*0.395</f>
        <v>374.22300000000001</v>
      </c>
    </row>
    <row r="105" spans="2:4" x14ac:dyDescent="0.25">
      <c r="B105" s="2" t="s">
        <v>14</v>
      </c>
      <c r="C105" s="11">
        <f>0.616*(5.34/0.6)*11.5+0.616*(3.64/0.6)*5.3</f>
        <v>82.85405333333334</v>
      </c>
    </row>
    <row r="106" spans="2:4" x14ac:dyDescent="0.25">
      <c r="B106" s="2" t="s">
        <v>9</v>
      </c>
      <c r="C106" s="11">
        <f>94.74*0.05</f>
        <v>4.7370000000000001</v>
      </c>
    </row>
    <row r="107" spans="2:4" x14ac:dyDescent="0.25">
      <c r="B107" s="2" t="s">
        <v>10</v>
      </c>
      <c r="C107" s="2">
        <v>0</v>
      </c>
    </row>
    <row r="108" spans="2:4" x14ac:dyDescent="0.25">
      <c r="B108" s="2" t="s">
        <v>76</v>
      </c>
      <c r="C108" s="12">
        <f>94.74*5.4</f>
        <v>511.596</v>
      </c>
    </row>
    <row r="109" spans="2:4" x14ac:dyDescent="0.25">
      <c r="B109" s="2" t="s">
        <v>82</v>
      </c>
      <c r="C109" s="2">
        <v>117.09</v>
      </c>
    </row>
    <row r="110" spans="2:4" x14ac:dyDescent="0.25">
      <c r="B110" s="2" t="s">
        <v>83</v>
      </c>
      <c r="C110" s="2">
        <f>+C109</f>
        <v>117.09</v>
      </c>
    </row>
    <row r="111" spans="2:4" x14ac:dyDescent="0.25">
      <c r="B111" s="2" t="s">
        <v>90</v>
      </c>
      <c r="C111" s="2">
        <f>+C110</f>
        <v>117.09</v>
      </c>
    </row>
    <row r="113" spans="2:4" x14ac:dyDescent="0.25">
      <c r="B113" s="2" t="s">
        <v>79</v>
      </c>
    </row>
    <row r="114" spans="2:4" x14ac:dyDescent="0.25">
      <c r="B114" s="2" t="s">
        <v>160</v>
      </c>
      <c r="C114" s="11">
        <f>(31.27+31.19+19.22+32.05+31.64)*(1/0.2+1/0.2)*0.395</f>
        <v>574.2115</v>
      </c>
    </row>
    <row r="115" spans="2:4" x14ac:dyDescent="0.25">
      <c r="B115" s="2" t="s">
        <v>12</v>
      </c>
      <c r="C115" s="11">
        <f>0.8/0.2*(3.83+3.82+2.95+3.93+3.87)*8.17/0.6*0.395</f>
        <v>395.86373333333336</v>
      </c>
    </row>
    <row r="116" spans="2:4" x14ac:dyDescent="0.25">
      <c r="B116" s="2" t="s">
        <v>15</v>
      </c>
      <c r="C116" s="11">
        <f>2*(10.51+10.58+8.87+8.12+4.84)*0.888*8.21/0.6</f>
        <v>1043.024672</v>
      </c>
    </row>
    <row r="117" spans="2:4" x14ac:dyDescent="0.25">
      <c r="B117" s="2" t="s">
        <v>53</v>
      </c>
      <c r="C117" s="11">
        <f>(24+24+18.93+22.53+22.43)/0.33*0.96*1.578</f>
        <v>513.63613090909098</v>
      </c>
      <c r="D117" s="9"/>
    </row>
    <row r="118" spans="2:4" x14ac:dyDescent="0.25">
      <c r="B118" s="2" t="s">
        <v>9</v>
      </c>
      <c r="C118" s="11">
        <f>153.37*0.05+0.02/0.6*19.5</f>
        <v>8.3185000000000002</v>
      </c>
    </row>
    <row r="119" spans="2:4" x14ac:dyDescent="0.25">
      <c r="B119" s="2" t="s">
        <v>10</v>
      </c>
      <c r="C119" s="2">
        <v>0</v>
      </c>
    </row>
    <row r="120" spans="2:4" x14ac:dyDescent="0.25">
      <c r="B120" s="2" t="s">
        <v>82</v>
      </c>
      <c r="C120" s="2">
        <f>8.21*8+3*6.51+8.21*8.1</f>
        <v>151.71100000000001</v>
      </c>
    </row>
    <row r="121" spans="2:4" x14ac:dyDescent="0.25">
      <c r="B121" s="2" t="s">
        <v>84</v>
      </c>
      <c r="C121" s="2">
        <f>+C120</f>
        <v>151.71100000000001</v>
      </c>
    </row>
    <row r="123" spans="2:4" x14ac:dyDescent="0.25">
      <c r="B123" s="2" t="s">
        <v>77</v>
      </c>
    </row>
    <row r="124" spans="2:4" x14ac:dyDescent="0.25">
      <c r="B124" s="2" t="s">
        <v>12</v>
      </c>
      <c r="C124" s="11">
        <f>(8*8.21+8.1*8.21)*(1/0.2+1/0.2)*0.395</f>
        <v>522.11495000000014</v>
      </c>
    </row>
    <row r="125" spans="2:4" x14ac:dyDescent="0.25">
      <c r="B125" s="2" t="s">
        <v>53</v>
      </c>
      <c r="C125" s="11">
        <f>+(8.21+8.21)*2*(8.22/0.6)*1.578</f>
        <v>709.95482400000014</v>
      </c>
    </row>
    <row r="126" spans="2:4" x14ac:dyDescent="0.25">
      <c r="B126" s="2" t="s">
        <v>9</v>
      </c>
      <c r="C126" s="11">
        <f>8.34*19.6*0.05</f>
        <v>8.1731999999999996</v>
      </c>
    </row>
    <row r="127" spans="2:4" x14ac:dyDescent="0.25">
      <c r="B127" s="2" t="s">
        <v>10</v>
      </c>
      <c r="C127" s="2">
        <v>0</v>
      </c>
    </row>
    <row r="128" spans="2:4" x14ac:dyDescent="0.25">
      <c r="B128" s="2" t="s">
        <v>76</v>
      </c>
      <c r="C128" s="11">
        <f>(8*8.21+8.1*8.21)*7.8</f>
        <v>1031.0118</v>
      </c>
    </row>
    <row r="129" spans="2:3" x14ac:dyDescent="0.25">
      <c r="B129" s="2" t="s">
        <v>82</v>
      </c>
      <c r="C129" s="2">
        <v>204.91</v>
      </c>
    </row>
    <row r="130" spans="2:3" x14ac:dyDescent="0.25">
      <c r="B130" s="2" t="s">
        <v>86</v>
      </c>
      <c r="C130" s="2">
        <f>+C129</f>
        <v>204.91</v>
      </c>
    </row>
    <row r="131" spans="2:3" x14ac:dyDescent="0.25">
      <c r="B131" s="2" t="s">
        <v>83</v>
      </c>
      <c r="C131" s="2">
        <f>+C129</f>
        <v>204.91</v>
      </c>
    </row>
    <row r="132" spans="2:3" x14ac:dyDescent="0.25">
      <c r="B132" s="2" t="s">
        <v>90</v>
      </c>
      <c r="C132" s="2">
        <f>+C131</f>
        <v>204.91</v>
      </c>
    </row>
    <row r="134" spans="2:3" x14ac:dyDescent="0.25">
      <c r="B134" s="2" t="s">
        <v>78</v>
      </c>
    </row>
    <row r="135" spans="2:3" x14ac:dyDescent="0.25">
      <c r="B135" s="2" t="s">
        <v>160</v>
      </c>
      <c r="C135" s="11">
        <f>(3*8.21)*(1/0.2+1/0.2)*0.395</f>
        <v>97.288500000000013</v>
      </c>
    </row>
    <row r="136" spans="2:3" x14ac:dyDescent="0.25">
      <c r="B136" s="2" t="s">
        <v>12</v>
      </c>
      <c r="C136" s="11">
        <f>3.58*(2+2)*6.51/0.6*0.395</f>
        <v>61.371940000000009</v>
      </c>
    </row>
    <row r="137" spans="2:3" x14ac:dyDescent="0.25">
      <c r="B137" s="2" t="s">
        <v>169</v>
      </c>
      <c r="C137" s="11">
        <f>0.8/0.2*3*8.21/0.6*0.395</f>
        <v>64.859000000000009</v>
      </c>
    </row>
    <row r="138" spans="2:3" x14ac:dyDescent="0.25">
      <c r="B138" s="2" t="s">
        <v>9</v>
      </c>
      <c r="C138" s="11">
        <f>8.34*19.6*0.05</f>
        <v>8.1731999999999996</v>
      </c>
    </row>
    <row r="139" spans="2:3" x14ac:dyDescent="0.25">
      <c r="B139" s="2" t="s">
        <v>10</v>
      </c>
      <c r="C139" s="2">
        <v>0</v>
      </c>
    </row>
    <row r="141" spans="2:3" x14ac:dyDescent="0.25">
      <c r="B141" s="2" t="s">
        <v>80</v>
      </c>
    </row>
    <row r="142" spans="2:3" x14ac:dyDescent="0.25">
      <c r="B142" s="2" t="s">
        <v>160</v>
      </c>
      <c r="C142" s="11">
        <f>4.39*11.88*(1/0.2+1/0.2)*0.395</f>
        <v>206.00513999999998</v>
      </c>
    </row>
    <row r="143" spans="2:3" x14ac:dyDescent="0.25">
      <c r="B143" s="2" t="s">
        <v>12</v>
      </c>
      <c r="C143" s="11">
        <f>0.8/0.2*4.41*12.03/0.6*0.395</f>
        <v>139.70438999999999</v>
      </c>
    </row>
    <row r="144" spans="2:3" x14ac:dyDescent="0.25">
      <c r="B144" s="2" t="s">
        <v>13</v>
      </c>
      <c r="C144" s="11">
        <f>(2+2)*5.22*11.88/0.6*1.206</f>
        <v>498.58934400000004</v>
      </c>
    </row>
    <row r="145" spans="2:4" x14ac:dyDescent="0.25">
      <c r="B145" s="2" t="s">
        <v>53</v>
      </c>
      <c r="C145" s="11">
        <f>32.56/0.33*0.96*1.578</f>
        <v>149.46816000000001</v>
      </c>
      <c r="D145" s="9"/>
    </row>
    <row r="146" spans="2:4" x14ac:dyDescent="0.25">
      <c r="B146" s="2" t="s">
        <v>9</v>
      </c>
      <c r="C146" s="11">
        <f>4.39*11.88*0.05+0.02/0.6*19.5*4.39</f>
        <v>5.4611599999999996</v>
      </c>
    </row>
    <row r="147" spans="2:4" x14ac:dyDescent="0.25">
      <c r="B147" s="2" t="s">
        <v>10</v>
      </c>
      <c r="C147" s="2">
        <v>0</v>
      </c>
    </row>
    <row r="148" spans="2:4" x14ac:dyDescent="0.25">
      <c r="B148" s="2" t="s">
        <v>82</v>
      </c>
      <c r="C148" s="2">
        <f>12.03*4.41</f>
        <v>53.052299999999995</v>
      </c>
    </row>
    <row r="149" spans="2:4" x14ac:dyDescent="0.25">
      <c r="B149" s="2" t="s">
        <v>84</v>
      </c>
      <c r="C149" s="2">
        <f>+C148</f>
        <v>53.052299999999995</v>
      </c>
    </row>
    <row r="151" spans="2:4" x14ac:dyDescent="0.25">
      <c r="B151" s="2" t="s">
        <v>81</v>
      </c>
    </row>
    <row r="152" spans="2:4" x14ac:dyDescent="0.25">
      <c r="B152" s="2" t="s">
        <v>160</v>
      </c>
      <c r="C152" s="11">
        <f>(12.03*4.41)*(1/0.2+1/0.2)*0.395</f>
        <v>209.55658499999998</v>
      </c>
    </row>
    <row r="153" spans="2:4" x14ac:dyDescent="0.25">
      <c r="B153" s="2" t="s">
        <v>53</v>
      </c>
      <c r="C153" s="11">
        <f>4.5*12.03/0.6*1.578</f>
        <v>142.37504999999999</v>
      </c>
    </row>
    <row r="154" spans="2:4" x14ac:dyDescent="0.25">
      <c r="B154" s="2" t="s">
        <v>9</v>
      </c>
      <c r="C154" s="11">
        <f>(12.03*4.41)*0.05</f>
        <v>2.6526149999999999</v>
      </c>
    </row>
    <row r="155" spans="2:4" x14ac:dyDescent="0.25">
      <c r="B155" s="2" t="s">
        <v>10</v>
      </c>
      <c r="C155" s="2">
        <v>0</v>
      </c>
    </row>
    <row r="156" spans="2:4" x14ac:dyDescent="0.25">
      <c r="B156" s="2" t="s">
        <v>76</v>
      </c>
      <c r="C156" s="11">
        <f>(12.03*4.41)*8.5</f>
        <v>450.94454999999994</v>
      </c>
    </row>
    <row r="157" spans="2:4" x14ac:dyDescent="0.25">
      <c r="B157" s="2" t="s">
        <v>82</v>
      </c>
      <c r="C157" s="2">
        <v>79.83</v>
      </c>
    </row>
    <row r="158" spans="2:4" x14ac:dyDescent="0.25">
      <c r="B158" s="2" t="s">
        <v>86</v>
      </c>
      <c r="C158" s="2">
        <f>+C157</f>
        <v>79.83</v>
      </c>
    </row>
    <row r="159" spans="2:4" x14ac:dyDescent="0.25">
      <c r="B159" s="2" t="s">
        <v>83</v>
      </c>
      <c r="C159" s="2">
        <f>+C157</f>
        <v>79.83</v>
      </c>
    </row>
    <row r="160" spans="2:4" x14ac:dyDescent="0.25">
      <c r="B160" s="2" t="s">
        <v>90</v>
      </c>
      <c r="C160" s="2">
        <f>+C159</f>
        <v>79.83</v>
      </c>
    </row>
    <row r="162" spans="2:3" x14ac:dyDescent="0.25">
      <c r="B162" s="2" t="s">
        <v>91</v>
      </c>
    </row>
    <row r="163" spans="2:3" x14ac:dyDescent="0.25">
      <c r="B163" s="2" t="s">
        <v>12</v>
      </c>
      <c r="C163" s="11">
        <f>(2.1+1.5+1.85)/0.2*1.42*0.395+1.42*18*0.395+1.51*3.17*(1/0.2+1/0.2)*0.395+(3.2+2.9+2.6)/0.2*1.46*0.395+1.46*25*0.395+2.8*1.46*(1/0.2+1/0.2)*0.395+(6.19+1.7+6.19)*1.46/0.2*0.395+(0.23+2.39+0.03+2.28+0.11+0.7+0.6+0.5)/0.2*1.46*0.395+26*1.46*0.395+(0.12+1.01+0.03+1.02+0.47)/0.2*1.46*0.395+12*1.46*0.395+(0.17+1.76+0.03+1.56+0.21+0.59+0.48)/0.2*1.46*0.395+21*1.46*0.395+(0.15+1.4+0.03+1.41+0.57+0.47)/0.2*1.46*0.395+(0.11+0.93+0.03+0.93+0.47)*1.46/0.2*0.395+12*1.46*0.395</f>
        <v>241.43308500000003</v>
      </c>
    </row>
    <row r="164" spans="2:3" x14ac:dyDescent="0.25">
      <c r="B164" s="2" t="s">
        <v>9</v>
      </c>
      <c r="C164" s="11">
        <f>0.32*1.46+0.06*3.17*1.2+2.68*(1.05)*1.5</f>
        <v>4.9164400000000006</v>
      </c>
    </row>
    <row r="165" spans="2:3" x14ac:dyDescent="0.25">
      <c r="B165" s="2" t="s">
        <v>10</v>
      </c>
      <c r="C165" s="11">
        <f>0.18*1.5*6</f>
        <v>1.62</v>
      </c>
    </row>
    <row r="166" spans="2:3" x14ac:dyDescent="0.25">
      <c r="B166" s="2" t="s">
        <v>84</v>
      </c>
      <c r="C166" s="2">
        <f>1.51*3.21+(2.88+6.19+1.7+5.9)*1.46</f>
        <v>29.185300000000002</v>
      </c>
    </row>
    <row r="167" spans="2:3" x14ac:dyDescent="0.25">
      <c r="B167" s="2" t="s">
        <v>93</v>
      </c>
      <c r="C167" s="11">
        <f>1.64*1.46</f>
        <v>2.3943999999999996</v>
      </c>
    </row>
    <row r="168" spans="2:3" x14ac:dyDescent="0.25">
      <c r="B168" s="2" t="s">
        <v>94</v>
      </c>
      <c r="C168" s="11">
        <f>2.24*1.46</f>
        <v>3.2704000000000004</v>
      </c>
    </row>
    <row r="169" spans="2:3" x14ac:dyDescent="0.25">
      <c r="B169" s="2" t="s">
        <v>95</v>
      </c>
      <c r="C169" s="11">
        <f>(2.91+2.91)*1.46+1.2*1.42</f>
        <v>10.2012</v>
      </c>
    </row>
    <row r="170" spans="2:3" x14ac:dyDescent="0.25">
      <c r="B170" s="2" t="s">
        <v>96</v>
      </c>
      <c r="C170" s="11">
        <f>1.94*1.46</f>
        <v>2.8323999999999998</v>
      </c>
    </row>
    <row r="171" spans="2:3" x14ac:dyDescent="0.25">
      <c r="B171" s="2" t="s">
        <v>97</v>
      </c>
      <c r="C171" s="11">
        <f>2.91*1.46</f>
        <v>4.2485999999999997</v>
      </c>
    </row>
    <row r="172" spans="2:3" x14ac:dyDescent="0.25">
      <c r="B172" s="2" t="s">
        <v>98</v>
      </c>
      <c r="C172" s="11">
        <f>1.94*1.46</f>
        <v>2.8323999999999998</v>
      </c>
    </row>
    <row r="174" spans="2:3" x14ac:dyDescent="0.25">
      <c r="B174" s="2" t="s">
        <v>108</v>
      </c>
    </row>
    <row r="175" spans="2:3" x14ac:dyDescent="0.25">
      <c r="B175" s="2" t="s">
        <v>109</v>
      </c>
      <c r="C175" s="11">
        <f>6*6*(1/20+1/20)*2*2.466+3*4*6*(1/20)</f>
        <v>21.355200000000004</v>
      </c>
    </row>
    <row r="176" spans="2:3" x14ac:dyDescent="0.25">
      <c r="B176" s="2" t="s">
        <v>9</v>
      </c>
      <c r="C176" s="11">
        <f>6*6*0.6</f>
        <v>21.599999999999998</v>
      </c>
    </row>
    <row r="177" spans="2:3" x14ac:dyDescent="0.25">
      <c r="B177" s="2" t="s">
        <v>10</v>
      </c>
      <c r="C177" s="11">
        <f>6*0.6*4</f>
        <v>14.399999999999999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R115"/>
  <sheetViews>
    <sheetView topLeftCell="B1" zoomScale="85" zoomScaleNormal="85" workbookViewId="0">
      <selection activeCell="H17" sqref="H17"/>
    </sheetView>
  </sheetViews>
  <sheetFormatPr defaultRowHeight="15" x14ac:dyDescent="0.25"/>
  <cols>
    <col min="1" max="1" width="7.140625" style="1" customWidth="1"/>
    <col min="2" max="2" width="23.42578125" style="1" bestFit="1" customWidth="1"/>
    <col min="3" max="3" width="13.5703125" style="1" bestFit="1" customWidth="1"/>
    <col min="4" max="4" width="9.140625" style="1"/>
    <col min="5" max="8" width="13.5703125" style="1" bestFit="1" customWidth="1"/>
    <col min="9" max="9" width="9.140625" style="1"/>
    <col min="10" max="12" width="13.5703125" style="1" bestFit="1" customWidth="1"/>
    <col min="13" max="16384" width="9.140625" style="1"/>
  </cols>
  <sheetData>
    <row r="3" spans="2:15" x14ac:dyDescent="0.25">
      <c r="B3" s="1" t="s">
        <v>0</v>
      </c>
      <c r="C3" s="1">
        <v>2</v>
      </c>
      <c r="D3" s="1" t="s">
        <v>3</v>
      </c>
    </row>
    <row r="4" spans="2:15" x14ac:dyDescent="0.25">
      <c r="B4" s="1" t="s">
        <v>1</v>
      </c>
      <c r="C4" s="1">
        <v>80</v>
      </c>
      <c r="D4" s="1" t="s">
        <v>2</v>
      </c>
    </row>
    <row r="7" spans="2:15" x14ac:dyDescent="0.25">
      <c r="B7" s="1" t="s">
        <v>31</v>
      </c>
    </row>
    <row r="8" spans="2:15" x14ac:dyDescent="0.25">
      <c r="B8" s="1" t="s">
        <v>4</v>
      </c>
      <c r="C8" s="1" t="s">
        <v>5</v>
      </c>
      <c r="D8" s="1" t="s">
        <v>5</v>
      </c>
      <c r="E8" s="1" t="s">
        <v>24</v>
      </c>
      <c r="F8" s="1" t="s">
        <v>26</v>
      </c>
      <c r="G8" s="1" t="s">
        <v>27</v>
      </c>
      <c r="H8" s="1" t="s">
        <v>28</v>
      </c>
      <c r="I8" s="8" t="s">
        <v>25</v>
      </c>
      <c r="J8" s="1" t="s">
        <v>29</v>
      </c>
      <c r="K8" s="1" t="s">
        <v>30</v>
      </c>
      <c r="L8" s="1" t="s">
        <v>30</v>
      </c>
      <c r="M8" s="1" t="s">
        <v>30</v>
      </c>
    </row>
    <row r="9" spans="2:15" x14ac:dyDescent="0.25">
      <c r="C9" s="1" t="s">
        <v>22</v>
      </c>
      <c r="D9" s="1" t="s">
        <v>23</v>
      </c>
      <c r="E9" s="1" t="s">
        <v>22</v>
      </c>
      <c r="F9" s="1" t="s">
        <v>22</v>
      </c>
      <c r="G9" s="1" t="s">
        <v>22</v>
      </c>
      <c r="H9" s="1" t="s">
        <v>22</v>
      </c>
      <c r="I9" s="8" t="s">
        <v>23</v>
      </c>
      <c r="J9" s="1" t="s">
        <v>22</v>
      </c>
      <c r="K9" s="1" t="s">
        <v>22</v>
      </c>
      <c r="L9" s="1" t="s">
        <v>22</v>
      </c>
      <c r="M9" s="1" t="s">
        <v>23</v>
      </c>
    </row>
    <row r="10" spans="2:15" x14ac:dyDescent="0.25">
      <c r="B10" s="1" t="s">
        <v>19</v>
      </c>
      <c r="C10" s="1">
        <v>23.4</v>
      </c>
      <c r="D10" s="1">
        <v>6.35</v>
      </c>
      <c r="E10" s="1">
        <v>34.9</v>
      </c>
      <c r="F10" s="1">
        <v>5</v>
      </c>
      <c r="G10" s="1">
        <v>14</v>
      </c>
      <c r="H10" s="1">
        <v>5.25</v>
      </c>
      <c r="I10" s="8">
        <v>19.260000000000002</v>
      </c>
      <c r="J10" s="1">
        <v>26.11</v>
      </c>
      <c r="K10" s="1">
        <f>5.75*5</f>
        <v>28.75</v>
      </c>
      <c r="L10" s="1">
        <v>6.8</v>
      </c>
      <c r="M10" s="1">
        <f>13+4.14</f>
        <v>17.14</v>
      </c>
    </row>
    <row r="11" spans="2:15" x14ac:dyDescent="0.25">
      <c r="B11" s="1" t="s">
        <v>20</v>
      </c>
      <c r="C11" s="2">
        <f>2.45*0.1+0.95*0.15+0.6*0.35</f>
        <v>0.59750000000000003</v>
      </c>
      <c r="D11" s="2">
        <f>1*0.15+0.6*0.35</f>
        <v>0.36</v>
      </c>
      <c r="E11" s="2">
        <f>0.45*0.1+0.9*0.15+0.6*0.35</f>
        <v>0.39</v>
      </c>
      <c r="F11" s="2">
        <f>0.45*0.1+0.95*0.15+0.6*0.35</f>
        <v>0.39749999999999996</v>
      </c>
      <c r="G11" s="2">
        <f>1.2*0.1+0.95*0.15+0.6*0.35</f>
        <v>0.47249999999999992</v>
      </c>
      <c r="H11" s="2">
        <f>2.45*0.1+0.95*0.15+0.6*0.35</f>
        <v>0.59750000000000003</v>
      </c>
      <c r="I11" s="8">
        <f>0.6*2.17</f>
        <v>1.3019999999999998</v>
      </c>
      <c r="J11" s="1">
        <f>0.45*0.1+1.2*0.15+0.6*0.35+0.45*0.1+0.6*0.15+0.6*0.35</f>
        <v>0.77999999999999992</v>
      </c>
      <c r="K11" s="2">
        <f>1.75*0.1+0.65*0.15+0.6*0.35</f>
        <v>0.48250000000000004</v>
      </c>
      <c r="L11" s="2">
        <f>0.85*0.1+0.65*0.15+0.6*0.35</f>
        <v>0.39249999999999996</v>
      </c>
      <c r="M11" s="2">
        <f>0.65*0.15+0.6*0.35</f>
        <v>0.3075</v>
      </c>
    </row>
    <row r="12" spans="2:15" x14ac:dyDescent="0.25">
      <c r="B12" s="1" t="s">
        <v>21</v>
      </c>
      <c r="C12" s="11">
        <f>+C10*C11*2</f>
        <v>27.963000000000001</v>
      </c>
      <c r="D12" s="11">
        <f>+D10*D11*2</f>
        <v>4.5719999999999992</v>
      </c>
      <c r="E12" s="11">
        <f t="shared" ref="E12:M12" si="0">+E10*E11*2</f>
        <v>27.222000000000001</v>
      </c>
      <c r="F12" s="11">
        <f t="shared" si="0"/>
        <v>3.9749999999999996</v>
      </c>
      <c r="G12" s="11">
        <f t="shared" si="0"/>
        <v>13.229999999999997</v>
      </c>
      <c r="H12" s="11">
        <f t="shared" si="0"/>
        <v>6.2737500000000006</v>
      </c>
      <c r="I12" s="11">
        <f>+I10*I11</f>
        <v>25.076519999999999</v>
      </c>
      <c r="J12" s="11">
        <f>+J10*J11</f>
        <v>20.365799999999997</v>
      </c>
      <c r="K12" s="11">
        <f t="shared" si="0"/>
        <v>27.743750000000002</v>
      </c>
      <c r="L12" s="11">
        <f t="shared" si="0"/>
        <v>5.3379999999999992</v>
      </c>
      <c r="M12" s="11">
        <f t="shared" si="0"/>
        <v>10.5411</v>
      </c>
      <c r="N12" s="2"/>
      <c r="O12" s="2"/>
    </row>
    <row r="14" spans="2:15" x14ac:dyDescent="0.25">
      <c r="B14" s="1" t="s">
        <v>34</v>
      </c>
    </row>
    <row r="15" spans="2:15" x14ac:dyDescent="0.25">
      <c r="B15" s="1" t="s">
        <v>4</v>
      </c>
      <c r="C15" s="1" t="s">
        <v>35</v>
      </c>
      <c r="D15" s="1" t="s">
        <v>35</v>
      </c>
    </row>
    <row r="16" spans="2:15" x14ac:dyDescent="0.25">
      <c r="C16" s="1" t="s">
        <v>22</v>
      </c>
      <c r="D16" s="1" t="s">
        <v>23</v>
      </c>
    </row>
    <row r="17" spans="2:4" x14ac:dyDescent="0.25">
      <c r="B17" s="1" t="s">
        <v>19</v>
      </c>
      <c r="C17" s="1">
        <f>3.89+3.89+5.95+5.21+4.25</f>
        <v>23.19</v>
      </c>
      <c r="D17" s="1">
        <v>4.58</v>
      </c>
    </row>
    <row r="18" spans="2:4" x14ac:dyDescent="0.25">
      <c r="B18" s="1" t="s">
        <v>20</v>
      </c>
      <c r="C18" s="2">
        <f>0.45*0.1+0.48*0.15+0.5*0.35</f>
        <v>0.29199999999999998</v>
      </c>
      <c r="D18" s="2">
        <f>0.58*0.15+0.5*0.35</f>
        <v>0.26200000000000001</v>
      </c>
    </row>
    <row r="19" spans="2:4" x14ac:dyDescent="0.25">
      <c r="B19" s="1" t="s">
        <v>21</v>
      </c>
      <c r="C19" s="11">
        <f>+C17*C18*2</f>
        <v>13.542960000000001</v>
      </c>
      <c r="D19" s="11">
        <f>+D17*D18*2</f>
        <v>2.3999200000000003</v>
      </c>
    </row>
    <row r="21" spans="2:4" x14ac:dyDescent="0.25">
      <c r="B21" s="1" t="s">
        <v>37</v>
      </c>
    </row>
    <row r="22" spans="2:4" x14ac:dyDescent="0.25">
      <c r="B22" s="1" t="s">
        <v>4</v>
      </c>
      <c r="C22" s="1" t="s">
        <v>36</v>
      </c>
      <c r="D22" s="1" t="s">
        <v>36</v>
      </c>
    </row>
    <row r="23" spans="2:4" x14ac:dyDescent="0.25">
      <c r="C23" s="1" t="s">
        <v>22</v>
      </c>
      <c r="D23" s="1" t="s">
        <v>23</v>
      </c>
    </row>
    <row r="24" spans="2:4" x14ac:dyDescent="0.25">
      <c r="B24" s="1" t="s">
        <v>19</v>
      </c>
      <c r="C24" s="1">
        <f>9.25*6+9.65*2</f>
        <v>74.8</v>
      </c>
      <c r="D24" s="1">
        <f>9.25*3+9.65*2</f>
        <v>47.05</v>
      </c>
    </row>
    <row r="25" spans="2:4" x14ac:dyDescent="0.25">
      <c r="B25" s="1" t="s">
        <v>20</v>
      </c>
      <c r="C25" s="2">
        <f>1.2*0.1+0.48*0.15+0.5*0.35</f>
        <v>0.36699999999999999</v>
      </c>
      <c r="D25" s="2">
        <f>0.53*0.15+0.5*0.35</f>
        <v>0.2545</v>
      </c>
    </row>
    <row r="26" spans="2:4" x14ac:dyDescent="0.25">
      <c r="B26" s="1" t="s">
        <v>21</v>
      </c>
      <c r="C26" s="11">
        <f>+C24*C25*2</f>
        <v>54.903199999999998</v>
      </c>
      <c r="D26" s="11">
        <f>+D24*D25*2</f>
        <v>23.948449999999998</v>
      </c>
    </row>
    <row r="28" spans="2:4" x14ac:dyDescent="0.25">
      <c r="B28" s="1" t="s">
        <v>38</v>
      </c>
    </row>
    <row r="29" spans="2:4" x14ac:dyDescent="0.25">
      <c r="B29" s="1" t="s">
        <v>4</v>
      </c>
      <c r="C29" s="1" t="s">
        <v>39</v>
      </c>
    </row>
    <row r="30" spans="2:4" x14ac:dyDescent="0.25">
      <c r="C30" s="1" t="s">
        <v>22</v>
      </c>
    </row>
    <row r="31" spans="2:4" x14ac:dyDescent="0.25">
      <c r="B31" s="1" t="s">
        <v>19</v>
      </c>
      <c r="C31" s="1">
        <f>5.55*2</f>
        <v>11.1</v>
      </c>
    </row>
    <row r="32" spans="2:4" x14ac:dyDescent="0.25">
      <c r="B32" s="1" t="s">
        <v>20</v>
      </c>
      <c r="C32" s="2">
        <f>2.45*0.1+0.9*0.15+0.6*0.35</f>
        <v>0.59</v>
      </c>
      <c r="D32" s="2"/>
    </row>
    <row r="33" spans="2:18" x14ac:dyDescent="0.25">
      <c r="B33" s="1" t="s">
        <v>21</v>
      </c>
      <c r="C33" s="11">
        <f>+C31*C32*2</f>
        <v>13.097999999999999</v>
      </c>
      <c r="D33" s="2"/>
    </row>
    <row r="35" spans="2:18" x14ac:dyDescent="0.25">
      <c r="B35" s="1" t="s">
        <v>47</v>
      </c>
    </row>
    <row r="36" spans="2:18" x14ac:dyDescent="0.25">
      <c r="B36" s="2"/>
      <c r="C36" s="4">
        <v>2</v>
      </c>
      <c r="D36" s="4">
        <v>3</v>
      </c>
      <c r="E36" s="4">
        <v>4</v>
      </c>
      <c r="F36" s="4">
        <v>5</v>
      </c>
      <c r="G36" s="4">
        <v>6</v>
      </c>
      <c r="H36" s="4">
        <v>17</v>
      </c>
      <c r="I36" s="4">
        <v>19</v>
      </c>
      <c r="J36" s="4">
        <v>20</v>
      </c>
      <c r="K36" s="4">
        <v>21</v>
      </c>
      <c r="L36" s="7">
        <v>9</v>
      </c>
      <c r="M36" s="7">
        <v>11</v>
      </c>
      <c r="N36" s="7">
        <v>13</v>
      </c>
      <c r="O36" s="7">
        <v>15</v>
      </c>
      <c r="P36" s="7">
        <v>8</v>
      </c>
      <c r="Q36" s="7">
        <v>12</v>
      </c>
      <c r="R36" s="1">
        <v>18</v>
      </c>
    </row>
    <row r="37" spans="2:18" x14ac:dyDescent="0.25">
      <c r="B37" s="2" t="s">
        <v>54</v>
      </c>
      <c r="C37" s="11"/>
      <c r="D37" s="11"/>
      <c r="E37" s="11">
        <f t="shared" ref="E37:H37" si="1">7.9/0.1*2.1*0.395</f>
        <v>65.530500000000004</v>
      </c>
      <c r="F37" s="11"/>
      <c r="G37" s="11"/>
      <c r="H37" s="11">
        <f t="shared" si="1"/>
        <v>65.530500000000004</v>
      </c>
      <c r="I37" s="11"/>
      <c r="J37" s="11"/>
      <c r="K37" s="11"/>
      <c r="L37" s="11"/>
      <c r="M37" s="11"/>
      <c r="N37" s="11"/>
      <c r="O37" s="11"/>
      <c r="P37" s="11"/>
      <c r="Q37" s="11"/>
      <c r="R37" s="11">
        <f t="shared" ref="R37" si="2">7.9/0.1*2.1*0.395</f>
        <v>65.530500000000004</v>
      </c>
    </row>
    <row r="38" spans="2:18" x14ac:dyDescent="0.25">
      <c r="B38" s="2" t="s">
        <v>53</v>
      </c>
      <c r="C38" s="11"/>
      <c r="D38" s="11"/>
      <c r="E38" s="11">
        <f t="shared" ref="E38:H38" si="3">26*7.9*1.578</f>
        <v>324.12120000000004</v>
      </c>
      <c r="F38" s="11"/>
      <c r="G38" s="11"/>
      <c r="H38" s="11">
        <f t="shared" si="3"/>
        <v>324.12120000000004</v>
      </c>
      <c r="I38" s="11"/>
      <c r="J38" s="11"/>
      <c r="K38" s="11"/>
      <c r="L38" s="11"/>
      <c r="M38" s="11"/>
      <c r="N38" s="11"/>
      <c r="O38" s="11"/>
      <c r="P38" s="11"/>
      <c r="Q38" s="11"/>
      <c r="R38" s="11">
        <f t="shared" ref="R38" si="4">26*7.9*1.578</f>
        <v>324.12120000000004</v>
      </c>
    </row>
    <row r="39" spans="2:18" x14ac:dyDescent="0.25">
      <c r="B39" s="2" t="s">
        <v>9</v>
      </c>
      <c r="C39" s="11">
        <f t="shared" ref="C39:K39" si="5">7.9*(0.6*0.5-0.45*0.35)</f>
        <v>1.12575</v>
      </c>
      <c r="D39" s="11">
        <f t="shared" si="5"/>
        <v>1.12575</v>
      </c>
      <c r="E39" s="11">
        <f t="shared" si="5"/>
        <v>1.12575</v>
      </c>
      <c r="F39" s="11">
        <f t="shared" si="5"/>
        <v>1.12575</v>
      </c>
      <c r="G39" s="11">
        <f t="shared" si="5"/>
        <v>1.12575</v>
      </c>
      <c r="H39" s="11">
        <f t="shared" si="5"/>
        <v>1.12575</v>
      </c>
      <c r="I39" s="11">
        <f t="shared" si="5"/>
        <v>1.12575</v>
      </c>
      <c r="J39" s="11">
        <f t="shared" si="5"/>
        <v>1.12575</v>
      </c>
      <c r="K39" s="11">
        <f t="shared" si="5"/>
        <v>1.12575</v>
      </c>
      <c r="L39" s="11">
        <f t="shared" ref="L39:Q39" si="6">7.9*(0.6*0.32-0.5*0.22)</f>
        <v>0.64780000000000004</v>
      </c>
      <c r="M39" s="11">
        <f t="shared" si="6"/>
        <v>0.64780000000000004</v>
      </c>
      <c r="N39" s="11">
        <f t="shared" si="6"/>
        <v>0.64780000000000004</v>
      </c>
      <c r="O39" s="11">
        <f t="shared" si="6"/>
        <v>0.64780000000000004</v>
      </c>
      <c r="P39" s="11">
        <f t="shared" si="6"/>
        <v>0.64780000000000004</v>
      </c>
      <c r="Q39" s="11">
        <f t="shared" si="6"/>
        <v>0.64780000000000004</v>
      </c>
      <c r="R39" s="11">
        <f t="shared" ref="R39" si="7">7.9*(0.6*0.5-0.45*0.35)</f>
        <v>1.12575</v>
      </c>
    </row>
    <row r="40" spans="2:18" x14ac:dyDescent="0.25">
      <c r="B40" s="2" t="s">
        <v>10</v>
      </c>
      <c r="C40" s="11">
        <f t="shared" ref="C40:K40" si="8">7.9*(0.6+0.5)*2</f>
        <v>17.380000000000003</v>
      </c>
      <c r="D40" s="11">
        <f t="shared" si="8"/>
        <v>17.380000000000003</v>
      </c>
      <c r="E40" s="11">
        <f t="shared" si="8"/>
        <v>17.380000000000003</v>
      </c>
      <c r="F40" s="11">
        <f t="shared" si="8"/>
        <v>17.380000000000003</v>
      </c>
      <c r="G40" s="11">
        <f t="shared" si="8"/>
        <v>17.380000000000003</v>
      </c>
      <c r="H40" s="11">
        <f t="shared" si="8"/>
        <v>17.380000000000003</v>
      </c>
      <c r="I40" s="11">
        <f t="shared" si="8"/>
        <v>17.380000000000003</v>
      </c>
      <c r="J40" s="11">
        <f t="shared" si="8"/>
        <v>17.380000000000003</v>
      </c>
      <c r="K40" s="11">
        <f t="shared" si="8"/>
        <v>17.380000000000003</v>
      </c>
      <c r="L40" s="11">
        <f t="shared" ref="L40:Q40" si="9">7.9*(0.6+0.32)*2</f>
        <v>14.536</v>
      </c>
      <c r="M40" s="11">
        <f t="shared" si="9"/>
        <v>14.536</v>
      </c>
      <c r="N40" s="11">
        <f t="shared" si="9"/>
        <v>14.536</v>
      </c>
      <c r="O40" s="11">
        <f t="shared" si="9"/>
        <v>14.536</v>
      </c>
      <c r="P40" s="11">
        <f t="shared" si="9"/>
        <v>14.536</v>
      </c>
      <c r="Q40" s="11">
        <f t="shared" si="9"/>
        <v>14.536</v>
      </c>
      <c r="R40" s="11">
        <f t="shared" ref="R40" si="10">7.9*(0.6+0.5)*2</f>
        <v>17.380000000000003</v>
      </c>
    </row>
    <row r="41" spans="2:18" x14ac:dyDescent="0.25">
      <c r="B41" s="1" t="s">
        <v>59</v>
      </c>
      <c r="C41" s="10">
        <f>_xlfn.CEILING.MATH(7.9/0.5,1)*4</f>
        <v>64</v>
      </c>
      <c r="D41" s="10">
        <f t="shared" ref="D41:R41" si="11">_xlfn.CEILING.MATH(7.9/0.5,1)*4</f>
        <v>64</v>
      </c>
      <c r="E41" s="10">
        <f t="shared" si="11"/>
        <v>64</v>
      </c>
      <c r="F41" s="10">
        <f t="shared" si="11"/>
        <v>64</v>
      </c>
      <c r="G41" s="10">
        <f t="shared" si="11"/>
        <v>64</v>
      </c>
      <c r="H41" s="10">
        <f t="shared" si="11"/>
        <v>64</v>
      </c>
      <c r="I41" s="10">
        <f t="shared" si="11"/>
        <v>64</v>
      </c>
      <c r="J41" s="10">
        <f t="shared" si="11"/>
        <v>64</v>
      </c>
      <c r="K41" s="10">
        <f t="shared" si="11"/>
        <v>64</v>
      </c>
      <c r="L41" s="10">
        <f t="shared" si="11"/>
        <v>64</v>
      </c>
      <c r="M41" s="10">
        <f t="shared" si="11"/>
        <v>64</v>
      </c>
      <c r="N41" s="10">
        <f t="shared" si="11"/>
        <v>64</v>
      </c>
      <c r="O41" s="10">
        <f t="shared" si="11"/>
        <v>64</v>
      </c>
      <c r="P41" s="10">
        <f t="shared" si="11"/>
        <v>64</v>
      </c>
      <c r="Q41" s="10">
        <f t="shared" si="11"/>
        <v>64</v>
      </c>
      <c r="R41" s="10">
        <f t="shared" si="11"/>
        <v>64</v>
      </c>
    </row>
    <row r="46" spans="2:18" x14ac:dyDescent="0.25">
      <c r="B46" s="3"/>
      <c r="J46" s="15"/>
      <c r="K46" s="15"/>
      <c r="L46" s="15"/>
      <c r="M46" s="15"/>
      <c r="N46" s="15"/>
      <c r="O46" s="15"/>
      <c r="P46" s="15"/>
    </row>
    <row r="47" spans="2:18" x14ac:dyDescent="0.25">
      <c r="J47" s="15"/>
      <c r="K47" s="15"/>
      <c r="L47" s="15"/>
      <c r="M47" s="15"/>
      <c r="N47" s="15"/>
      <c r="O47" s="15"/>
      <c r="P47" s="15"/>
    </row>
    <row r="48" spans="2:18" x14ac:dyDescent="0.25">
      <c r="B48" s="19"/>
      <c r="C48" s="13"/>
      <c r="D48" s="19"/>
      <c r="E48" s="19"/>
      <c r="G48" s="13"/>
      <c r="J48" s="15"/>
      <c r="K48" s="16"/>
      <c r="L48" s="15"/>
      <c r="M48" s="15"/>
      <c r="N48" s="15"/>
      <c r="O48" s="17"/>
      <c r="P48" s="15"/>
    </row>
    <row r="49" spans="2:16" x14ac:dyDescent="0.25">
      <c r="B49" s="19"/>
      <c r="C49" s="19"/>
      <c r="D49" s="13"/>
      <c r="E49" s="13"/>
      <c r="J49" s="15"/>
      <c r="K49" s="15"/>
      <c r="L49" s="15"/>
      <c r="M49" s="15"/>
      <c r="N49" s="15"/>
      <c r="O49" s="15"/>
      <c r="P49" s="15"/>
    </row>
    <row r="50" spans="2:16" x14ac:dyDescent="0.25">
      <c r="J50" s="15"/>
      <c r="K50" s="15"/>
      <c r="L50" s="15"/>
      <c r="M50" s="15"/>
      <c r="N50" s="15"/>
      <c r="O50" s="15"/>
      <c r="P50" s="15"/>
    </row>
    <row r="51" spans="2:16" x14ac:dyDescent="0.25">
      <c r="J51" s="15"/>
      <c r="K51" s="15"/>
      <c r="L51" s="15"/>
      <c r="M51" s="15"/>
      <c r="N51" s="15"/>
      <c r="O51" s="15"/>
      <c r="P51" s="15"/>
    </row>
    <row r="52" spans="2:16" x14ac:dyDescent="0.25">
      <c r="H52" s="2"/>
      <c r="J52" s="18"/>
      <c r="K52" s="15"/>
      <c r="L52" s="15"/>
      <c r="M52" s="15"/>
      <c r="N52" s="15"/>
      <c r="O52" s="15"/>
      <c r="P52" s="16"/>
    </row>
    <row r="53" spans="2:16" x14ac:dyDescent="0.25">
      <c r="J53" s="17"/>
      <c r="K53" s="15"/>
      <c r="L53" s="15"/>
      <c r="M53" s="15"/>
      <c r="N53" s="15"/>
      <c r="O53" s="15"/>
      <c r="P53" s="15"/>
    </row>
    <row r="54" spans="2:16" x14ac:dyDescent="0.25">
      <c r="C54" s="2"/>
      <c r="F54" s="2"/>
      <c r="G54" s="2"/>
      <c r="J54" s="15"/>
      <c r="K54" s="16"/>
      <c r="L54" s="15"/>
      <c r="M54" s="15"/>
      <c r="N54" s="15"/>
      <c r="O54" s="16"/>
      <c r="P54" s="15"/>
    </row>
    <row r="55" spans="2:16" x14ac:dyDescent="0.25">
      <c r="F55" s="2"/>
      <c r="G55" s="2"/>
      <c r="J55" s="15"/>
      <c r="K55" s="15"/>
      <c r="L55" s="15"/>
      <c r="M55" s="15"/>
      <c r="N55" s="15"/>
      <c r="O55" s="15"/>
      <c r="P55" s="15"/>
    </row>
    <row r="56" spans="2:16" x14ac:dyDescent="0.25">
      <c r="L56" s="15"/>
      <c r="M56" s="15"/>
      <c r="N56" s="15"/>
      <c r="O56" s="15"/>
      <c r="P56" s="15"/>
    </row>
    <row r="57" spans="2:16" x14ac:dyDescent="0.25">
      <c r="G57" s="2"/>
      <c r="J57" s="15"/>
      <c r="K57" s="15"/>
      <c r="L57" s="15"/>
      <c r="M57" s="15"/>
      <c r="N57" s="15"/>
      <c r="O57" s="16"/>
      <c r="P57" s="15"/>
    </row>
    <row r="58" spans="2:16" x14ac:dyDescent="0.25">
      <c r="F58" s="2"/>
      <c r="G58" s="2"/>
      <c r="H58" s="2"/>
      <c r="J58" s="15"/>
      <c r="K58" s="15"/>
      <c r="L58" s="15"/>
      <c r="M58" s="15"/>
      <c r="N58" s="15"/>
      <c r="O58" s="16"/>
      <c r="P58" s="15"/>
    </row>
    <row r="59" spans="2:16" x14ac:dyDescent="0.25">
      <c r="G59" s="2"/>
      <c r="J59" s="15"/>
      <c r="K59" s="15"/>
      <c r="L59" s="15"/>
      <c r="M59" s="15"/>
      <c r="N59" s="15"/>
      <c r="O59" s="16"/>
      <c r="P59" s="15"/>
    </row>
    <row r="60" spans="2:16" x14ac:dyDescent="0.25">
      <c r="C60" s="2"/>
      <c r="F60" s="2"/>
      <c r="G60" s="2"/>
      <c r="H60" s="2"/>
      <c r="J60" s="15"/>
      <c r="K60" s="15"/>
      <c r="L60" s="15"/>
      <c r="M60" s="15"/>
      <c r="N60" s="15"/>
      <c r="O60" s="16"/>
      <c r="P60" s="15"/>
    </row>
    <row r="61" spans="2:16" x14ac:dyDescent="0.25">
      <c r="C61" s="2"/>
      <c r="F61" s="2"/>
      <c r="G61" s="2"/>
      <c r="H61" s="2"/>
      <c r="J61" s="15"/>
      <c r="K61" s="15"/>
      <c r="L61" s="15"/>
      <c r="M61" s="15"/>
      <c r="N61" s="15"/>
      <c r="O61" s="17"/>
      <c r="P61" s="15"/>
    </row>
    <row r="62" spans="2:16" x14ac:dyDescent="0.25">
      <c r="C62" s="2"/>
      <c r="F62" s="2"/>
      <c r="G62" s="2"/>
      <c r="H62" s="2"/>
      <c r="J62" s="15"/>
      <c r="K62" s="15"/>
      <c r="L62" s="15"/>
      <c r="M62" s="15"/>
      <c r="N62" s="15"/>
      <c r="O62" s="15"/>
      <c r="P62" s="15"/>
    </row>
    <row r="63" spans="2:16" x14ac:dyDescent="0.25">
      <c r="C63" s="2"/>
      <c r="F63" s="2"/>
      <c r="G63" s="2"/>
      <c r="H63" s="2"/>
      <c r="J63" s="15"/>
      <c r="K63" s="15"/>
      <c r="L63" s="15"/>
      <c r="M63" s="15"/>
      <c r="N63" s="15"/>
      <c r="O63" s="15"/>
      <c r="P63" s="15"/>
    </row>
    <row r="64" spans="2:16" x14ac:dyDescent="0.25">
      <c r="C64" s="2"/>
      <c r="F64" s="2"/>
      <c r="G64" s="2"/>
      <c r="H64" s="2"/>
      <c r="J64" s="15"/>
      <c r="K64" s="15"/>
      <c r="L64" s="15"/>
      <c r="M64" s="15"/>
      <c r="N64" s="15"/>
      <c r="O64" s="15"/>
      <c r="P64" s="15"/>
    </row>
    <row r="65" spans="2:16" x14ac:dyDescent="0.25">
      <c r="C65" s="2"/>
      <c r="F65" s="2"/>
      <c r="G65" s="2"/>
      <c r="H65" s="2"/>
      <c r="J65" s="15"/>
      <c r="K65" s="15"/>
      <c r="L65" s="15"/>
      <c r="M65" s="15"/>
      <c r="N65" s="15"/>
      <c r="O65" s="18"/>
      <c r="P65" s="15"/>
    </row>
    <row r="66" spans="2:16" x14ac:dyDescent="0.25">
      <c r="C66" s="2"/>
      <c r="F66" s="2"/>
      <c r="G66" s="2"/>
      <c r="H66" s="2"/>
      <c r="J66" s="15"/>
      <c r="K66" s="16"/>
      <c r="L66" s="15"/>
      <c r="M66" s="15"/>
      <c r="N66" s="15"/>
      <c r="O66" s="15"/>
      <c r="P66" s="15"/>
    </row>
    <row r="67" spans="2:16" x14ac:dyDescent="0.25">
      <c r="C67" s="2"/>
      <c r="F67" s="2"/>
      <c r="G67" s="2"/>
      <c r="H67" s="2"/>
      <c r="J67" s="15"/>
      <c r="K67" s="15"/>
      <c r="L67" s="15"/>
      <c r="M67" s="15"/>
      <c r="N67" s="15"/>
      <c r="O67" s="15"/>
      <c r="P67" s="15"/>
    </row>
    <row r="68" spans="2:16" x14ac:dyDescent="0.25">
      <c r="J68" s="15"/>
      <c r="L68" s="15"/>
      <c r="M68" s="15"/>
      <c r="N68" s="15"/>
      <c r="O68" s="15"/>
      <c r="P68" s="15"/>
    </row>
    <row r="69" spans="2:16" x14ac:dyDescent="0.25">
      <c r="H69" s="2"/>
      <c r="J69" s="2"/>
      <c r="K69" s="2"/>
      <c r="L69" s="15"/>
      <c r="M69" s="15"/>
      <c r="N69" s="15"/>
      <c r="O69" s="15"/>
      <c r="P69" s="16"/>
    </row>
    <row r="70" spans="2:16" x14ac:dyDescent="0.25">
      <c r="J70" s="15"/>
      <c r="K70" s="15"/>
      <c r="L70" s="15"/>
      <c r="M70" s="15"/>
      <c r="N70" s="15"/>
      <c r="O70" s="15"/>
      <c r="P70" s="15"/>
    </row>
    <row r="71" spans="2:16" x14ac:dyDescent="0.25">
      <c r="C71" s="2"/>
      <c r="G71" s="2"/>
      <c r="J71" s="15"/>
      <c r="K71" s="16"/>
      <c r="L71" s="15"/>
      <c r="M71" s="15"/>
      <c r="N71" s="15"/>
      <c r="O71" s="16"/>
      <c r="P71" s="15"/>
    </row>
    <row r="72" spans="2:16" x14ac:dyDescent="0.25">
      <c r="J72" s="15"/>
      <c r="K72" s="15"/>
      <c r="L72" s="15"/>
      <c r="M72" s="15"/>
      <c r="N72" s="15"/>
      <c r="O72" s="15"/>
      <c r="P72" s="15"/>
    </row>
    <row r="73" spans="2:16" x14ac:dyDescent="0.25">
      <c r="B73" s="19"/>
      <c r="C73" s="13"/>
      <c r="D73" s="19"/>
      <c r="E73" s="19"/>
      <c r="G73" s="13"/>
      <c r="J73" s="15"/>
      <c r="K73" s="16"/>
      <c r="L73" s="15"/>
      <c r="M73" s="15"/>
      <c r="N73" s="15"/>
      <c r="O73" s="15"/>
      <c r="P73" s="15"/>
    </row>
    <row r="74" spans="2:16" x14ac:dyDescent="0.25">
      <c r="B74" s="19"/>
      <c r="C74" s="19"/>
      <c r="D74" s="13"/>
      <c r="E74" s="13"/>
      <c r="J74" s="15"/>
      <c r="K74" s="15"/>
      <c r="L74" s="15"/>
      <c r="M74" s="15"/>
      <c r="N74" s="15"/>
      <c r="O74" s="16"/>
      <c r="P74" s="15"/>
    </row>
    <row r="75" spans="2:16" x14ac:dyDescent="0.25">
      <c r="J75" s="15"/>
      <c r="K75" s="15"/>
      <c r="L75" s="15"/>
      <c r="M75" s="15"/>
      <c r="N75" s="15"/>
      <c r="O75" s="16"/>
      <c r="P75" s="15"/>
    </row>
    <row r="76" spans="2:16" x14ac:dyDescent="0.25">
      <c r="J76" s="15"/>
      <c r="K76" s="15"/>
      <c r="L76" s="15"/>
      <c r="M76" s="15"/>
      <c r="N76" s="15"/>
      <c r="O76" s="16"/>
      <c r="P76" s="15"/>
    </row>
    <row r="77" spans="2:16" x14ac:dyDescent="0.25">
      <c r="H77" s="2"/>
      <c r="J77" s="18"/>
      <c r="K77" s="15"/>
      <c r="L77" s="15"/>
      <c r="M77" s="15"/>
      <c r="N77" s="15"/>
      <c r="O77" s="16"/>
      <c r="P77" s="15"/>
    </row>
    <row r="78" spans="2:16" x14ac:dyDescent="0.25">
      <c r="J78" s="17"/>
      <c r="K78" s="15"/>
      <c r="L78" s="15"/>
      <c r="M78" s="15"/>
      <c r="N78" s="15"/>
      <c r="O78" s="18"/>
      <c r="P78" s="15"/>
    </row>
    <row r="79" spans="2:16" x14ac:dyDescent="0.25">
      <c r="C79" s="2"/>
      <c r="F79" s="2"/>
      <c r="J79" s="15"/>
      <c r="K79" s="16"/>
    </row>
    <row r="80" spans="2:16" x14ac:dyDescent="0.25">
      <c r="F80" s="2"/>
      <c r="J80" s="15"/>
      <c r="K80" s="15"/>
    </row>
    <row r="82" spans="3:11" x14ac:dyDescent="0.25">
      <c r="J82" s="15"/>
      <c r="K82" s="15"/>
    </row>
    <row r="83" spans="3:11" x14ac:dyDescent="0.25">
      <c r="J83" s="15"/>
      <c r="K83" s="15"/>
    </row>
    <row r="84" spans="3:11" x14ac:dyDescent="0.25">
      <c r="F84" s="2"/>
      <c r="G84" s="2"/>
      <c r="H84" s="2"/>
      <c r="J84" s="15"/>
      <c r="K84" s="15"/>
    </row>
    <row r="85" spans="3:11" x14ac:dyDescent="0.25">
      <c r="G85" s="2"/>
      <c r="J85" s="15"/>
      <c r="K85" s="15"/>
    </row>
    <row r="86" spans="3:11" x14ac:dyDescent="0.25">
      <c r="G86" s="2"/>
      <c r="J86" s="15"/>
      <c r="K86" s="15"/>
    </row>
    <row r="87" spans="3:11" x14ac:dyDescent="0.25">
      <c r="C87" s="2"/>
      <c r="F87" s="2"/>
      <c r="G87" s="2"/>
      <c r="H87" s="2"/>
      <c r="J87" s="15"/>
      <c r="K87" s="15"/>
    </row>
    <row r="88" spans="3:11" x14ac:dyDescent="0.25">
      <c r="C88" s="2"/>
      <c r="F88" s="2"/>
      <c r="G88" s="2"/>
      <c r="H88" s="2"/>
      <c r="J88" s="15"/>
      <c r="K88" s="15"/>
    </row>
    <row r="89" spans="3:11" x14ac:dyDescent="0.25">
      <c r="C89" s="2"/>
      <c r="F89" s="2"/>
      <c r="G89" s="2"/>
      <c r="H89" s="2"/>
      <c r="J89" s="15"/>
      <c r="K89" s="15"/>
    </row>
    <row r="90" spans="3:11" x14ac:dyDescent="0.25">
      <c r="C90" s="2"/>
      <c r="F90" s="2"/>
      <c r="G90" s="2"/>
      <c r="H90" s="2"/>
      <c r="J90" s="15"/>
      <c r="K90" s="15"/>
    </row>
    <row r="91" spans="3:11" x14ac:dyDescent="0.25">
      <c r="C91" s="2"/>
      <c r="F91" s="2"/>
      <c r="G91" s="2"/>
      <c r="H91" s="2"/>
      <c r="J91" s="15"/>
      <c r="K91" s="15"/>
    </row>
    <row r="92" spans="3:11" x14ac:dyDescent="0.25">
      <c r="C92" s="2"/>
      <c r="F92" s="2"/>
      <c r="G92" s="2"/>
      <c r="H92" s="2"/>
      <c r="J92" s="15"/>
      <c r="K92" s="15"/>
    </row>
    <row r="93" spans="3:11" x14ac:dyDescent="0.25">
      <c r="C93" s="2"/>
      <c r="F93" s="2"/>
      <c r="G93" s="2"/>
      <c r="H93" s="2"/>
      <c r="J93" s="15"/>
      <c r="K93" s="16"/>
    </row>
    <row r="94" spans="3:11" x14ac:dyDescent="0.25">
      <c r="C94" s="2"/>
      <c r="F94" s="2"/>
      <c r="G94" s="2"/>
      <c r="H94" s="2"/>
      <c r="J94" s="15"/>
      <c r="K94" s="15"/>
    </row>
    <row r="95" spans="3:11" x14ac:dyDescent="0.25">
      <c r="J95" s="15"/>
    </row>
    <row r="96" spans="3:11" x14ac:dyDescent="0.25">
      <c r="H96" s="2"/>
      <c r="J96" s="2"/>
      <c r="K96" s="2"/>
    </row>
    <row r="97" spans="3:8" x14ac:dyDescent="0.25">
      <c r="G97" s="2"/>
    </row>
    <row r="98" spans="3:8" x14ac:dyDescent="0.25">
      <c r="G98" s="14"/>
    </row>
    <row r="102" spans="3:8" x14ac:dyDescent="0.25">
      <c r="C102" s="2"/>
      <c r="G102" s="13"/>
    </row>
    <row r="106" spans="3:8" x14ac:dyDescent="0.25">
      <c r="H106" s="2"/>
    </row>
    <row r="108" spans="3:8" x14ac:dyDescent="0.25">
      <c r="C108" s="2"/>
      <c r="G108" s="2"/>
    </row>
    <row r="111" spans="3:8" x14ac:dyDescent="0.25">
      <c r="G111" s="2"/>
    </row>
    <row r="112" spans="3:8" x14ac:dyDescent="0.25">
      <c r="G112" s="2"/>
    </row>
    <row r="113" spans="7:7" x14ac:dyDescent="0.25">
      <c r="G113" s="2"/>
    </row>
    <row r="114" spans="7:7" x14ac:dyDescent="0.25">
      <c r="G114" s="2"/>
    </row>
    <row r="115" spans="7:7" x14ac:dyDescent="0.25">
      <c r="G115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STRUTTURE</vt:lpstr>
      <vt:lpstr>NUOVI</vt:lpstr>
      <vt:lpstr>RINGROSSI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Gabriele</dc:creator>
  <cp:lastModifiedBy>Marco Chiaramonti</cp:lastModifiedBy>
  <dcterms:created xsi:type="dcterms:W3CDTF">2015-06-05T18:19:34Z</dcterms:created>
  <dcterms:modified xsi:type="dcterms:W3CDTF">2023-01-27T10:57:57Z</dcterms:modified>
</cp:coreProperties>
</file>